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ub.dyntar\Desktop\Výuka\Logistika\"/>
    </mc:Choice>
  </mc:AlternateContent>
  <bookViews>
    <workbookView xWindow="0" yWindow="0" windowWidth="28800" windowHeight="12300" tabRatio="928"/>
  </bookViews>
  <sheets>
    <sheet name="Projekt" sheetId="10" r:id="rId1"/>
    <sheet name="Řešení 1" sheetId="1" r:id="rId2"/>
    <sheet name="Řešení 2" sheetId="2" r:id="rId3"/>
    <sheet name="Řešení 3" sheetId="6" r:id="rId4"/>
    <sheet name="Řešení 4" sheetId="7" r:id="rId5"/>
    <sheet name="Řešení 5" sheetId="8" r:id="rId6"/>
    <sheet name="Řešení 6" sheetId="9" r:id="rId7"/>
  </sheets>
  <definedNames>
    <definedName name="solver_adj" localSheetId="6" hidden="1">'Řešení 6'!$B$18</definedName>
    <definedName name="solver_cvg" localSheetId="6" hidden="1">0.0001</definedName>
    <definedName name="solver_drv" localSheetId="6" hidden="1">1</definedName>
    <definedName name="solver_eng" localSheetId="6" hidden="1">1</definedName>
    <definedName name="solver_est" localSheetId="6" hidden="1">1</definedName>
    <definedName name="solver_itr" localSheetId="6" hidden="1">2147483647</definedName>
    <definedName name="solver_mip" localSheetId="6" hidden="1">2147483647</definedName>
    <definedName name="solver_mni" localSheetId="6" hidden="1">30</definedName>
    <definedName name="solver_mrt" localSheetId="6" hidden="1">0.075</definedName>
    <definedName name="solver_msl" localSheetId="6" hidden="1">2</definedName>
    <definedName name="solver_neg" localSheetId="6" hidden="1">1</definedName>
    <definedName name="solver_nod" localSheetId="6" hidden="1">2147483647</definedName>
    <definedName name="solver_num" localSheetId="6" hidden="1">0</definedName>
    <definedName name="solver_nwt" localSheetId="6" hidden="1">1</definedName>
    <definedName name="solver_opt" localSheetId="6" hidden="1">'Řešení 6'!$F$12</definedName>
    <definedName name="solver_pre" localSheetId="6" hidden="1">0.000001</definedName>
    <definedName name="solver_rbv" localSheetId="6" hidden="1">1</definedName>
    <definedName name="solver_rlx" localSheetId="6" hidden="1">2</definedName>
    <definedName name="solver_rsd" localSheetId="6" hidden="1">0</definedName>
    <definedName name="solver_scl" localSheetId="6" hidden="1">1</definedName>
    <definedName name="solver_sho" localSheetId="6" hidden="1">2</definedName>
    <definedName name="solver_ssz" localSheetId="6" hidden="1">100</definedName>
    <definedName name="solver_tim" localSheetId="6" hidden="1">2147483647</definedName>
    <definedName name="solver_tol" localSheetId="6" hidden="1">0.01</definedName>
    <definedName name="solver_typ" localSheetId="6" hidden="1">3</definedName>
    <definedName name="solver_val" localSheetId="6" hidden="1">3000</definedName>
    <definedName name="solver_ver" localSheetId="6" hidden="1">3</definedName>
  </definedNames>
  <calcPr calcId="162913"/>
</workbook>
</file>

<file path=xl/calcChain.xml><?xml version="1.0" encoding="utf-8"?>
<calcChain xmlns="http://schemas.openxmlformats.org/spreadsheetml/2006/main">
  <c r="F9" i="9" l="1"/>
  <c r="G9" i="9" s="1"/>
  <c r="F8" i="9"/>
  <c r="G8" i="9" s="1"/>
  <c r="B16" i="9"/>
  <c r="F11" i="9" s="1"/>
  <c r="G11" i="9" s="1"/>
  <c r="J16" i="8"/>
  <c r="J8" i="8"/>
  <c r="J9" i="8"/>
  <c r="J10" i="8"/>
  <c r="J11" i="8"/>
  <c r="J12" i="8"/>
  <c r="J13" i="8"/>
  <c r="J14" i="8"/>
  <c r="J15" i="8"/>
  <c r="J7" i="8"/>
  <c r="I8" i="8"/>
  <c r="I9" i="8"/>
  <c r="I10" i="8"/>
  <c r="I11" i="8"/>
  <c r="I12" i="8"/>
  <c r="I13" i="8"/>
  <c r="I14" i="8"/>
  <c r="I15" i="8"/>
  <c r="I16" i="8"/>
  <c r="I7" i="8"/>
  <c r="H8" i="8"/>
  <c r="H9" i="8"/>
  <c r="H10" i="8"/>
  <c r="H11" i="8"/>
  <c r="H12" i="8"/>
  <c r="H13" i="8"/>
  <c r="H14" i="8"/>
  <c r="H15" i="8"/>
  <c r="H16" i="8"/>
  <c r="H7" i="8"/>
  <c r="G8" i="8"/>
  <c r="G9" i="8"/>
  <c r="G10" i="8"/>
  <c r="G11" i="8"/>
  <c r="G12" i="8"/>
  <c r="G13" i="8"/>
  <c r="G14" i="8"/>
  <c r="G15" i="8"/>
  <c r="G16" i="8"/>
  <c r="G7" i="8"/>
  <c r="F8" i="8"/>
  <c r="F9" i="8"/>
  <c r="F10" i="8"/>
  <c r="F11" i="8"/>
  <c r="F12" i="8"/>
  <c r="F13" i="8"/>
  <c r="F14" i="8"/>
  <c r="F15" i="8"/>
  <c r="F16" i="8"/>
  <c r="F7" i="8"/>
  <c r="B23" i="8"/>
  <c r="E7" i="8"/>
  <c r="E16" i="8"/>
  <c r="E15" i="8"/>
  <c r="E14" i="8"/>
  <c r="E13" i="8"/>
  <c r="E12" i="8"/>
  <c r="E11" i="8"/>
  <c r="E10" i="8"/>
  <c r="E9" i="8"/>
  <c r="E8" i="8"/>
  <c r="E17" i="8"/>
  <c r="B21" i="8"/>
  <c r="J18" i="7"/>
  <c r="J9" i="7"/>
  <c r="J10" i="7"/>
  <c r="J11" i="7"/>
  <c r="J12" i="7"/>
  <c r="J13" i="7"/>
  <c r="J14" i="7"/>
  <c r="J15" i="7"/>
  <c r="J16" i="7"/>
  <c r="J17" i="7"/>
  <c r="J8" i="7"/>
  <c r="I9" i="7"/>
  <c r="I10" i="7"/>
  <c r="I11" i="7"/>
  <c r="I12" i="7"/>
  <c r="I13" i="7"/>
  <c r="I14" i="7"/>
  <c r="I15" i="7"/>
  <c r="I16" i="7"/>
  <c r="I17" i="7"/>
  <c r="I8" i="7"/>
  <c r="H9" i="7"/>
  <c r="H10" i="7"/>
  <c r="H11" i="7"/>
  <c r="H12" i="7"/>
  <c r="H13" i="7"/>
  <c r="H14" i="7"/>
  <c r="H15" i="7"/>
  <c r="H16" i="7"/>
  <c r="H17" i="7"/>
  <c r="H8" i="7"/>
  <c r="G9" i="7"/>
  <c r="G10" i="7"/>
  <c r="G11" i="7"/>
  <c r="G12" i="7"/>
  <c r="G13" i="7"/>
  <c r="G14" i="7"/>
  <c r="G15" i="7"/>
  <c r="G16" i="7"/>
  <c r="G17" i="7"/>
  <c r="G8" i="7"/>
  <c r="F12" i="7"/>
  <c r="F16" i="7"/>
  <c r="F8" i="7"/>
  <c r="B24" i="7"/>
  <c r="F9" i="7" s="1"/>
  <c r="E18" i="7"/>
  <c r="E9" i="7"/>
  <c r="E10" i="7"/>
  <c r="E11" i="7"/>
  <c r="E12" i="7"/>
  <c r="E13" i="7"/>
  <c r="E14" i="7"/>
  <c r="E15" i="7"/>
  <c r="E16" i="7"/>
  <c r="E17" i="7"/>
  <c r="E8" i="7"/>
  <c r="B22" i="7"/>
  <c r="H8" i="6"/>
  <c r="H9" i="6"/>
  <c r="H10" i="6"/>
  <c r="H11" i="6"/>
  <c r="H12" i="6"/>
  <c r="H13" i="6"/>
  <c r="H14" i="6"/>
  <c r="H15" i="6"/>
  <c r="H16" i="6"/>
  <c r="H7" i="6"/>
  <c r="G8" i="6"/>
  <c r="G9" i="6"/>
  <c r="G10" i="6"/>
  <c r="G11" i="6"/>
  <c r="G12" i="6"/>
  <c r="G13" i="6"/>
  <c r="G14" i="6"/>
  <c r="G15" i="6"/>
  <c r="G16" i="6"/>
  <c r="G7" i="6"/>
  <c r="F8" i="6"/>
  <c r="F9" i="6"/>
  <c r="F10" i="6"/>
  <c r="F11" i="6"/>
  <c r="F12" i="6"/>
  <c r="F13" i="6"/>
  <c r="F14" i="6"/>
  <c r="F15" i="6"/>
  <c r="F16" i="6"/>
  <c r="F7" i="6"/>
  <c r="E8" i="6"/>
  <c r="E9" i="6"/>
  <c r="E10" i="6"/>
  <c r="E11" i="6"/>
  <c r="E12" i="6"/>
  <c r="E13" i="6"/>
  <c r="E14" i="6"/>
  <c r="E15" i="6"/>
  <c r="E16" i="6"/>
  <c r="E7" i="6"/>
  <c r="B19" i="2"/>
  <c r="B18" i="2"/>
  <c r="B15" i="2"/>
  <c r="B14" i="2"/>
  <c r="B15" i="1"/>
  <c r="B14" i="1"/>
  <c r="B13" i="1"/>
  <c r="B12" i="1"/>
  <c r="J11" i="9" l="1"/>
  <c r="H11" i="9"/>
  <c r="I11" i="9" s="1"/>
  <c r="J8" i="9"/>
  <c r="H8" i="9"/>
  <c r="I8" i="9" s="1"/>
  <c r="J9" i="9"/>
  <c r="H9" i="9"/>
  <c r="I9" i="9" s="1"/>
  <c r="F10" i="9"/>
  <c r="G10" i="9" s="1"/>
  <c r="F7" i="9"/>
  <c r="G7" i="9" s="1"/>
  <c r="J17" i="8"/>
  <c r="F15" i="7"/>
  <c r="F11" i="7"/>
  <c r="F14" i="7"/>
  <c r="F10" i="7"/>
  <c r="F17" i="7"/>
  <c r="F13" i="7"/>
  <c r="H10" i="9" l="1"/>
  <c r="I10" i="9" s="1"/>
  <c r="J10" i="9"/>
  <c r="J7" i="9"/>
  <c r="H7" i="9"/>
  <c r="I7" i="9" s="1"/>
  <c r="F12" i="9"/>
</calcChain>
</file>

<file path=xl/comments1.xml><?xml version="1.0" encoding="utf-8"?>
<comments xmlns="http://schemas.openxmlformats.org/spreadsheetml/2006/main">
  <authors>
    <author>Dyntar Jakub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>Dyntar Jakub:</t>
        </r>
        <r>
          <rPr>
            <sz val="9"/>
            <color indexed="81"/>
            <rFont val="Tahoma"/>
            <family val="2"/>
            <charset val="238"/>
          </rPr>
          <t xml:space="preserve">
V buňkách A16-A19 jsem místo k*Q dal k*q. Omlouvám se za chybu.</t>
        </r>
      </text>
    </comment>
  </commentList>
</comments>
</file>

<file path=xl/sharedStrings.xml><?xml version="1.0" encoding="utf-8"?>
<sst xmlns="http://schemas.openxmlformats.org/spreadsheetml/2006/main" count="132" uniqueCount="57">
  <si>
    <t>S[kg]</t>
  </si>
  <si>
    <t>Cena[Kč/kg]</t>
  </si>
  <si>
    <r>
      <t>p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>[m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/jednotku]</t>
    </r>
  </si>
  <si>
    <t>Poptávka po jistém produktu byla stanovena na 500 ks za měsíc. Skladovací náklady jsou 25% z průměrné zásoby v Kč za rok, náklady na jedno pořízení 1 100 Kč/obj. Cena výrobku je 100 Kč/ks. Výrobky mohou být odebírány pouze v baleních po 50 kusech. Spočtěte optimální velikost objednávky a celkové náklady spojené s pořízením a udržováním zásoby.</t>
  </si>
  <si>
    <t>Poptávka po jistém produktu byla stanovena na 10 000 tun za rok. Cena výrobku je 9 000 Kč/tunu. Skladovací náklady jsou 15% z průměrné zásoby v Kč za rok, náklady na jedno pořízení 8 500 Kč/obj. Spočtěte optimální velikost objednávky, délku dodacího cyklu, počet objednávek a celkové náklady spojené s pořízením a udržováním zásoby.</t>
  </si>
  <si>
    <t>Položka i</t>
  </si>
  <si>
    <t>Si[kg]</t>
  </si>
  <si>
    <t>Cena i[Kč/kg]</t>
  </si>
  <si>
    <t>V tabulce níže vidíte předpokládanou spotřebu 10 položek v období 12 měsíců a jejich cenu. Skladovací náklady jsou 19% z průměrné zásoby v Kč za rok, náklady na jedno pořízení 1 200 Kč/obj. Tyto parametry jsou stejné pro všechny položky. Spočtěte optimální velikosti objednávek, délky dodacích cyklů, počty objednávek a celkové náklady spojené s pořízením a udržováním zásoby.</t>
  </si>
  <si>
    <t>V tabulce níže vidíte předpokládanou spotřebu 5 položek v období 6 měsíců, jejich cenu a také nároky na skladovací prostor. Skladovací náklady jsou 19% z průměrné zásoby v Kč za rok, náklady na jedno pořízení 1 200 Kč/obj. Spočtěte optimální velikosti objednávek, délky dodacích cyklů, počty objednávek a celkové náklady spojené s pořízením a udržováním zásoby za předpokladu, že celková velikost skladu nesmí překročit 3 000 m3.</t>
  </si>
  <si>
    <t>V tabulce níže vidíte předpokládanou spotřebu 10 položek v období 5 měsíců a jejich cenu.Skladovací náklady jsou 19% z průměrné zásoby v Kč za rok, náklady na jedno pořízení 1 400 Kč/obj. Omezení kapitálovými prostředky bylo vyklakulováno na 400 000Kč. Spočtěte optimální velikosti objednávek, délky dodacích cyklů, počty objednávek a celkové náklady spojené s pořízením a udržováním zásoby.</t>
  </si>
  <si>
    <t>V tabulce níže vidíte předpokládanou spotřebu 10 položek v období 17 měsíců a jejich cenu. Skladovací náklady jsou 19% z průměrné zásoby v Kč za rok, náklady na jedno pořízení 1 200 Kč/obj. Spočtěte optimální velikosti objednávek, délky dodacích cyklů, počty objednávek a celkové náklady spojené s pořízením a udržováním zásoby za předpokladu, že počet objednávek je omezen na 70.</t>
  </si>
  <si>
    <t>Úkol:</t>
  </si>
  <si>
    <t>S</t>
  </si>
  <si>
    <t>tun</t>
  </si>
  <si>
    <t>T</t>
  </si>
  <si>
    <t>rok</t>
  </si>
  <si>
    <t>c</t>
  </si>
  <si>
    <t>Kč/tunu</t>
  </si>
  <si>
    <t>ns</t>
  </si>
  <si>
    <t>z Q/2 v Kč za rok</t>
  </si>
  <si>
    <t>nj</t>
  </si>
  <si>
    <t>Kč/obj</t>
  </si>
  <si>
    <t>Q*</t>
  </si>
  <si>
    <t>objednávek</t>
  </si>
  <si>
    <t>o*</t>
  </si>
  <si>
    <t>tc*</t>
  </si>
  <si>
    <t>dnů</t>
  </si>
  <si>
    <t>N(Q*)</t>
  </si>
  <si>
    <t>Kč</t>
  </si>
  <si>
    <t>ks</t>
  </si>
  <si>
    <t>měsíc</t>
  </si>
  <si>
    <t>Kč/ks</t>
  </si>
  <si>
    <t>q</t>
  </si>
  <si>
    <t>Přepočet ns</t>
  </si>
  <si>
    <t>z Q/2 v Kč za měsíc</t>
  </si>
  <si>
    <t>Q* [kg]</t>
  </si>
  <si>
    <t>o* [objednávek]</t>
  </si>
  <si>
    <t>tc* [dny]</t>
  </si>
  <si>
    <t>měsíců</t>
  </si>
  <si>
    <t>Odmocnina(Si*ci)</t>
  </si>
  <si>
    <t>Suma</t>
  </si>
  <si>
    <t>Alfa</t>
  </si>
  <si>
    <t>K</t>
  </si>
  <si>
    <t>O</t>
  </si>
  <si>
    <t>Beta</t>
  </si>
  <si>
    <t>P</t>
  </si>
  <si>
    <t>m3</t>
  </si>
  <si>
    <t>Chí</t>
  </si>
  <si>
    <t>Výraz</t>
  </si>
  <si>
    <t>k*q&lt;Q*</t>
  </si>
  <si>
    <t>k*q&gt;Q*</t>
  </si>
  <si>
    <t>N(k*q&lt;Q*)</t>
  </si>
  <si>
    <t>N(k*q&gt;Q*)</t>
  </si>
  <si>
    <t>N(Q*) [Kč]</t>
  </si>
  <si>
    <t>Q*/2*c [Kč]</t>
  </si>
  <si>
    <t>S/Q* [objednávek]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</si>
</sst>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3" x14ac:knownFonts="1">
    <font>
      <sz val="10"/>
      <name val="Arial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5" fillId="2" borderId="0" xfId="0" applyFont="1" applyFill="1" applyBorder="1"/>
    <xf numFmtId="0" fontId="2" fillId="2" borderId="0" xfId="0" applyFont="1" applyFill="1" applyBorder="1" applyAlignment="1">
      <alignment vertical="top" wrapText="1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0" applyFont="1" applyFill="1" applyAlignment="1">
      <alignment vertical="top" wrapText="1"/>
    </xf>
    <xf numFmtId="0" fontId="8" fillId="2" borderId="0" xfId="0" applyFont="1" applyFill="1" applyBorder="1"/>
    <xf numFmtId="0" fontId="9" fillId="2" borderId="0" xfId="0" applyFont="1" applyFill="1" applyBorder="1"/>
    <xf numFmtId="3" fontId="8" fillId="2" borderId="0" xfId="0" applyNumberFormat="1" applyFont="1" applyFill="1" applyBorder="1"/>
    <xf numFmtId="3" fontId="9" fillId="2" borderId="0" xfId="0" applyNumberFormat="1" applyFont="1" applyFill="1" applyBorder="1"/>
    <xf numFmtId="4" fontId="8" fillId="2" borderId="0" xfId="0" applyNumberFormat="1" applyFont="1" applyFill="1" applyBorder="1"/>
    <xf numFmtId="164" fontId="8" fillId="2" borderId="0" xfId="0" applyNumberFormat="1" applyFont="1" applyFill="1" applyBorder="1"/>
    <xf numFmtId="0" fontId="10" fillId="2" borderId="0" xfId="0" applyFont="1" applyFill="1" applyBorder="1"/>
    <xf numFmtId="4" fontId="10" fillId="2" borderId="0" xfId="0" applyNumberFormat="1" applyFont="1" applyFill="1" applyBorder="1"/>
    <xf numFmtId="3" fontId="10" fillId="2" borderId="0" xfId="0" applyNumberFormat="1" applyFont="1" applyFill="1" applyBorder="1"/>
    <xf numFmtId="0" fontId="0" fillId="2" borderId="1" xfId="0" applyFill="1" applyBorder="1"/>
    <xf numFmtId="3" fontId="10" fillId="2" borderId="1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Průběh skladovacích nákladů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Příklad_1!#REF!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Příklad_1!#REF!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A4B-4C56-AAC0-1C5888A60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71112"/>
        <c:axId val="1"/>
      </c:lineChart>
      <c:catAx>
        <c:axId val="300971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Velikost objednávky [tun]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Nsklad [Kč]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0971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Průběh objednacích nákladů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Příklad_1!#REF!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Příklad_1!#REF!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CE4-4526-8D80-DBAB834A5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68488"/>
        <c:axId val="1"/>
      </c:lineChart>
      <c:catAx>
        <c:axId val="300968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Velikost objednávky [tun]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Nobj [Kč]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0968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Průběh celkových nákladů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Příklad_1!#REF!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Příklad_1!#REF!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E55-4833-9E4E-0743BB8C1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70128"/>
        <c:axId val="1"/>
      </c:lineChart>
      <c:catAx>
        <c:axId val="30097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Velikost objednávky [tun]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Nobj [Kč]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0970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Průběh zásoby na skladě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Příklad_1!#REF!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Příklad_1!#REF!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5C3-4040-B649-7EC3CF3A4EAF}"/>
            </c:ext>
          </c:extLst>
        </c:ser>
        <c:ser>
          <c:idx val="1"/>
          <c:order val="1"/>
          <c:tx>
            <c:v>Příklad_1!#REF!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Příklad_1!#REF!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5C3-4040-B649-7EC3CF3A4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68160"/>
        <c:axId val="1"/>
      </c:lineChart>
      <c:catAx>
        <c:axId val="30096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Zásoba [tun]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096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Průběh celkových nákladů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Příklad_2!#REF!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Příklad_2!#REF!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443-427B-A890-E2E334EF4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732600"/>
        <c:axId val="1"/>
      </c:lineChart>
      <c:catAx>
        <c:axId val="300732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Velikost objednávky [ks]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Nc [Kč]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0732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305438</xdr:colOff>
      <xdr:row>21</xdr:row>
      <xdr:rowOff>29054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2638" cy="342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819150</xdr:colOff>
      <xdr:row>0</xdr:row>
      <xdr:rowOff>0</xdr:rowOff>
    </xdr:to>
    <xdr:graphicFrame macro="">
      <xdr:nvGraphicFramePr>
        <xdr:cNvPr id="105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0</xdr:rowOff>
    </xdr:from>
    <xdr:to>
      <xdr:col>5</xdr:col>
      <xdr:colOff>1266825</xdr:colOff>
      <xdr:row>0</xdr:row>
      <xdr:rowOff>0</xdr:rowOff>
    </xdr:to>
    <xdr:graphicFrame macro="">
      <xdr:nvGraphicFramePr>
        <xdr:cNvPr id="105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285750</xdr:colOff>
      <xdr:row>0</xdr:row>
      <xdr:rowOff>0</xdr:rowOff>
    </xdr:to>
    <xdr:graphicFrame macro="">
      <xdr:nvGraphicFramePr>
        <xdr:cNvPr id="105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66675</xdr:colOff>
      <xdr:row>0</xdr:row>
      <xdr:rowOff>0</xdr:rowOff>
    </xdr:from>
    <xdr:to>
      <xdr:col>11</xdr:col>
      <xdr:colOff>257175</xdr:colOff>
      <xdr:row>0</xdr:row>
      <xdr:rowOff>0</xdr:rowOff>
    </xdr:to>
    <xdr:graphicFrame macro="">
      <xdr:nvGraphicFramePr>
        <xdr:cNvPr id="1054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1106364</xdr:colOff>
      <xdr:row>9</xdr:row>
      <xdr:rowOff>167406</xdr:rowOff>
    </xdr:from>
    <xdr:to>
      <xdr:col>3</xdr:col>
      <xdr:colOff>392910</xdr:colOff>
      <xdr:row>12</xdr:row>
      <xdr:rowOff>159502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66595" y="1772002"/>
          <a:ext cx="1059661" cy="563596"/>
        </a:xfrm>
        <a:prstGeom prst="rect">
          <a:avLst/>
        </a:prstGeom>
      </xdr:spPr>
    </xdr:pic>
    <xdr:clientData/>
  </xdr:twoCellAnchor>
  <xdr:twoCellAnchor editAs="oneCell">
    <xdr:from>
      <xdr:col>2</xdr:col>
      <xdr:colOff>249115</xdr:colOff>
      <xdr:row>13</xdr:row>
      <xdr:rowOff>164817</xdr:rowOff>
    </xdr:from>
    <xdr:to>
      <xdr:col>3</xdr:col>
      <xdr:colOff>508312</xdr:colOff>
      <xdr:row>17</xdr:row>
      <xdr:rowOff>66920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09346" y="2531413"/>
          <a:ext cx="2032312" cy="605488"/>
        </a:xfrm>
        <a:prstGeom prst="rect">
          <a:avLst/>
        </a:prstGeom>
      </xdr:spPr>
    </xdr:pic>
    <xdr:clientData/>
  </xdr:twoCellAnchor>
  <xdr:twoCellAnchor editAs="oneCell">
    <xdr:from>
      <xdr:col>2</xdr:col>
      <xdr:colOff>862939</xdr:colOff>
      <xdr:row>12</xdr:row>
      <xdr:rowOff>80596</xdr:rowOff>
    </xdr:from>
    <xdr:to>
      <xdr:col>2</xdr:col>
      <xdr:colOff>1297597</xdr:colOff>
      <xdr:row>14</xdr:row>
      <xdr:rowOff>161991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r="51378"/>
        <a:stretch/>
      </xdr:blipFill>
      <xdr:spPr>
        <a:xfrm>
          <a:off x="2123170" y="2256692"/>
          <a:ext cx="434658" cy="4623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graphicFrame macro="">
      <xdr:nvGraphicFramePr>
        <xdr:cNvPr id="205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1668339</xdr:colOff>
      <xdr:row>12</xdr:row>
      <xdr:rowOff>100731</xdr:rowOff>
    </xdr:from>
    <xdr:to>
      <xdr:col>3</xdr:col>
      <xdr:colOff>1019176</xdr:colOff>
      <xdr:row>16</xdr:row>
      <xdr:rowOff>41693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1064" y="2253381"/>
          <a:ext cx="1112962" cy="702962"/>
        </a:xfrm>
        <a:prstGeom prst="rect">
          <a:avLst/>
        </a:prstGeom>
      </xdr:spPr>
    </xdr:pic>
    <xdr:clientData/>
  </xdr:twoCellAnchor>
  <xdr:twoCellAnchor editAs="oneCell">
    <xdr:from>
      <xdr:col>2</xdr:col>
      <xdr:colOff>1592140</xdr:colOff>
      <xdr:row>16</xdr:row>
      <xdr:rowOff>164817</xdr:rowOff>
    </xdr:from>
    <xdr:to>
      <xdr:col>3</xdr:col>
      <xdr:colOff>1860862</xdr:colOff>
      <xdr:row>20</xdr:row>
      <xdr:rowOff>76445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44865" y="3079467"/>
          <a:ext cx="2030847" cy="6641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8202" name="AutoShape 1"/>
        <xdr:cNvSpPr>
          <a:spLocks noChangeArrowheads="1"/>
        </xdr:cNvSpPr>
      </xdr:nvSpPr>
      <xdr:spPr bwMode="auto">
        <a:xfrm>
          <a:off x="8248650" y="29146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371475</xdr:colOff>
      <xdr:row>19</xdr:row>
      <xdr:rowOff>38100</xdr:rowOff>
    </xdr:from>
    <xdr:to>
      <xdr:col>8</xdr:col>
      <xdr:colOff>69154</xdr:colOff>
      <xdr:row>24</xdr:row>
      <xdr:rowOff>42755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025" y="3629025"/>
          <a:ext cx="2231329" cy="957155"/>
        </a:xfrm>
        <a:prstGeom prst="rect">
          <a:avLst/>
        </a:prstGeom>
      </xdr:spPr>
    </xdr:pic>
    <xdr:clientData/>
  </xdr:twoCellAnchor>
  <xdr:twoCellAnchor editAs="oneCell">
    <xdr:from>
      <xdr:col>3</xdr:col>
      <xdr:colOff>962025</xdr:colOff>
      <xdr:row>18</xdr:row>
      <xdr:rowOff>171450</xdr:rowOff>
    </xdr:from>
    <xdr:to>
      <xdr:col>5</xdr:col>
      <xdr:colOff>101958</xdr:colOff>
      <xdr:row>24</xdr:row>
      <xdr:rowOff>28281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5325" y="3571875"/>
          <a:ext cx="2664183" cy="9998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226" name="AutoShape 1"/>
        <xdr:cNvSpPr>
          <a:spLocks noChangeArrowheads="1"/>
        </xdr:cNvSpPr>
      </xdr:nvSpPr>
      <xdr:spPr bwMode="auto">
        <a:xfrm>
          <a:off x="7134225" y="275272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18</xdr:row>
      <xdr:rowOff>0</xdr:rowOff>
    </xdr:from>
    <xdr:to>
      <xdr:col>4</xdr:col>
      <xdr:colOff>197555</xdr:colOff>
      <xdr:row>23</xdr:row>
      <xdr:rowOff>35138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3533775"/>
          <a:ext cx="2274005" cy="987638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18</xdr:row>
      <xdr:rowOff>66675</xdr:rowOff>
    </xdr:from>
    <xdr:to>
      <xdr:col>6</xdr:col>
      <xdr:colOff>979392</xdr:colOff>
      <xdr:row>23</xdr:row>
      <xdr:rowOff>28654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7450" y="3600450"/>
          <a:ext cx="2560542" cy="914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7178" name="AutoShape 6"/>
        <xdr:cNvSpPr>
          <a:spLocks noChangeArrowheads="1"/>
        </xdr:cNvSpPr>
      </xdr:nvSpPr>
      <xdr:spPr bwMode="auto">
        <a:xfrm>
          <a:off x="9477375" y="19716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1581150</xdr:colOff>
      <xdr:row>13</xdr:row>
      <xdr:rowOff>47625</xdr:rowOff>
    </xdr:from>
    <xdr:to>
      <xdr:col>4</xdr:col>
      <xdr:colOff>7842</xdr:colOff>
      <xdr:row>17</xdr:row>
      <xdr:rowOff>114753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2775" y="2743200"/>
          <a:ext cx="2560542" cy="829128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13</xdr:row>
      <xdr:rowOff>142875</xdr:rowOff>
    </xdr:from>
    <xdr:to>
      <xdr:col>7</xdr:col>
      <xdr:colOff>631956</xdr:colOff>
      <xdr:row>18</xdr:row>
      <xdr:rowOff>80468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9325" y="2838450"/>
          <a:ext cx="2975106" cy="890093"/>
        </a:xfrm>
        <a:prstGeom prst="rect">
          <a:avLst/>
        </a:prstGeom>
      </xdr:spPr>
    </xdr:pic>
    <xdr:clientData/>
  </xdr:twoCellAnchor>
  <xdr:twoCellAnchor>
    <xdr:from>
      <xdr:col>4</xdr:col>
      <xdr:colOff>619124</xdr:colOff>
      <xdr:row>12</xdr:row>
      <xdr:rowOff>0</xdr:rowOff>
    </xdr:from>
    <xdr:to>
      <xdr:col>7</xdr:col>
      <xdr:colOff>142875</xdr:colOff>
      <xdr:row>20</xdr:row>
      <xdr:rowOff>142875</xdr:rowOff>
    </xdr:to>
    <xdr:sp macro="" textlink="">
      <xdr:nvSpPr>
        <xdr:cNvPr id="5" name="Ovál 4"/>
        <xdr:cNvSpPr/>
      </xdr:nvSpPr>
      <xdr:spPr>
        <a:xfrm>
          <a:off x="6324599" y="2505075"/>
          <a:ext cx="2190751" cy="16097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971551</xdr:colOff>
      <xdr:row>4</xdr:row>
      <xdr:rowOff>123824</xdr:rowOff>
    </xdr:from>
    <xdr:to>
      <xdr:col>6</xdr:col>
      <xdr:colOff>38100</xdr:colOff>
      <xdr:row>6</xdr:row>
      <xdr:rowOff>66674</xdr:rowOff>
    </xdr:to>
    <xdr:sp macro="" textlink="">
      <xdr:nvSpPr>
        <xdr:cNvPr id="7" name="Ovál 6"/>
        <xdr:cNvSpPr/>
      </xdr:nvSpPr>
      <xdr:spPr>
        <a:xfrm>
          <a:off x="6677026" y="1066799"/>
          <a:ext cx="676274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cols>
    <col min="1" max="16384" width="9.140625" style="4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30" zoomScaleNormal="130" workbookViewId="0"/>
  </sheetViews>
  <sheetFormatPr defaultRowHeight="12.75" x14ac:dyDescent="0.2"/>
  <cols>
    <col min="1" max="1" width="8.140625" style="1" bestFit="1" customWidth="1"/>
    <col min="2" max="2" width="10.7109375" style="1" customWidth="1"/>
    <col min="3" max="3" width="26.5703125" style="1" customWidth="1"/>
    <col min="4" max="4" width="41.85546875" style="1" customWidth="1"/>
    <col min="5" max="5" width="9.140625" style="1"/>
    <col min="6" max="6" width="19.7109375" style="1" customWidth="1"/>
    <col min="7" max="16384" width="9.140625" style="1"/>
  </cols>
  <sheetData>
    <row r="1" spans="1:7" ht="18" customHeight="1" x14ac:dyDescent="0.25">
      <c r="A1" s="2" t="s">
        <v>12</v>
      </c>
      <c r="B1" s="24" t="s">
        <v>4</v>
      </c>
      <c r="C1" s="24"/>
      <c r="D1" s="24"/>
      <c r="E1" s="24"/>
      <c r="F1" s="24"/>
      <c r="G1" s="24"/>
    </row>
    <row r="2" spans="1:7" ht="12.75" customHeight="1" x14ac:dyDescent="0.2">
      <c r="B2" s="24"/>
      <c r="C2" s="24"/>
      <c r="D2" s="24"/>
      <c r="E2" s="24"/>
      <c r="F2" s="24"/>
      <c r="G2" s="24"/>
    </row>
    <row r="3" spans="1:7" ht="12.75" customHeight="1" x14ac:dyDescent="0.2">
      <c r="B3" s="24"/>
      <c r="C3" s="24"/>
      <c r="D3" s="24"/>
      <c r="E3" s="24"/>
      <c r="F3" s="24"/>
      <c r="G3" s="24"/>
    </row>
    <row r="4" spans="1:7" ht="12.75" customHeight="1" x14ac:dyDescent="0.2">
      <c r="B4" s="24"/>
      <c r="C4" s="24"/>
      <c r="D4" s="24"/>
      <c r="E4" s="24"/>
      <c r="F4" s="24"/>
      <c r="G4" s="24"/>
    </row>
    <row r="5" spans="1:7" x14ac:dyDescent="0.2">
      <c r="B5" s="24"/>
      <c r="C5" s="24"/>
      <c r="D5" s="24"/>
      <c r="E5" s="24"/>
      <c r="F5" s="24"/>
      <c r="G5" s="24"/>
    </row>
    <row r="7" spans="1:7" ht="15" x14ac:dyDescent="0.2">
      <c r="A7" s="8" t="s">
        <v>13</v>
      </c>
      <c r="B7" s="10">
        <v>10000</v>
      </c>
      <c r="C7" s="8" t="s">
        <v>14</v>
      </c>
    </row>
    <row r="8" spans="1:7" ht="15" x14ac:dyDescent="0.2">
      <c r="A8" s="8" t="s">
        <v>15</v>
      </c>
      <c r="B8" s="10">
        <v>1</v>
      </c>
      <c r="C8" s="8" t="s">
        <v>16</v>
      </c>
    </row>
    <row r="9" spans="1:7" ht="15" x14ac:dyDescent="0.2">
      <c r="A9" s="8" t="s">
        <v>17</v>
      </c>
      <c r="B9" s="10">
        <v>9000</v>
      </c>
      <c r="C9" s="8" t="s">
        <v>18</v>
      </c>
    </row>
    <row r="10" spans="1:7" ht="15" x14ac:dyDescent="0.2">
      <c r="A10" s="8" t="s">
        <v>19</v>
      </c>
      <c r="B10" s="10">
        <v>0.15</v>
      </c>
      <c r="C10" s="8" t="s">
        <v>20</v>
      </c>
    </row>
    <row r="11" spans="1:7" ht="15" x14ac:dyDescent="0.2">
      <c r="A11" s="8" t="s">
        <v>21</v>
      </c>
      <c r="B11" s="10">
        <v>8500</v>
      </c>
      <c r="C11" s="8" t="s">
        <v>22</v>
      </c>
    </row>
    <row r="12" spans="1:7" ht="15" x14ac:dyDescent="0.2">
      <c r="A12" s="9" t="s">
        <v>23</v>
      </c>
      <c r="B12" s="11">
        <f>SQRT(2*B7*B11/(B8*B9*B10))</f>
        <v>354.86043161491807</v>
      </c>
      <c r="C12" s="9" t="s">
        <v>14</v>
      </c>
    </row>
    <row r="13" spans="1:7" ht="15" x14ac:dyDescent="0.2">
      <c r="A13" s="9" t="s">
        <v>25</v>
      </c>
      <c r="B13" s="11">
        <f>B7/B12</f>
        <v>28.180093098831726</v>
      </c>
      <c r="C13" s="9" t="s">
        <v>24</v>
      </c>
    </row>
    <row r="14" spans="1:7" ht="15" x14ac:dyDescent="0.2">
      <c r="A14" s="9" t="s">
        <v>26</v>
      </c>
      <c r="B14" s="11">
        <f>365/B13</f>
        <v>12.952405753944509</v>
      </c>
      <c r="C14" s="9" t="s">
        <v>27</v>
      </c>
    </row>
    <row r="15" spans="1:7" ht="15" x14ac:dyDescent="0.2">
      <c r="A15" s="9" t="s">
        <v>28</v>
      </c>
      <c r="B15" s="11">
        <f>B7/B12*B11+B12/2*B8*B9*B10</f>
        <v>479061.58268013934</v>
      </c>
      <c r="C15" s="9" t="s">
        <v>29</v>
      </c>
    </row>
  </sheetData>
  <mergeCells count="1">
    <mergeCell ref="B1:G5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2.75" x14ac:dyDescent="0.2"/>
  <cols>
    <col min="1" max="1" width="15" style="1" customWidth="1"/>
    <col min="2" max="2" width="26.28515625" style="1" customWidth="1"/>
    <col min="3" max="3" width="26.42578125" style="1" customWidth="1"/>
    <col min="4" max="4" width="33.85546875" style="1" customWidth="1"/>
    <col min="5" max="5" width="18.42578125" style="1" customWidth="1"/>
    <col min="6" max="16384" width="9.140625" style="1"/>
  </cols>
  <sheetData>
    <row r="1" spans="1:6" ht="18" x14ac:dyDescent="0.25">
      <c r="A1" s="2" t="s">
        <v>12</v>
      </c>
      <c r="B1" s="24" t="s">
        <v>3</v>
      </c>
      <c r="C1" s="24"/>
      <c r="D1" s="24"/>
      <c r="E1" s="24"/>
      <c r="F1" s="3"/>
    </row>
    <row r="2" spans="1:6" x14ac:dyDescent="0.2">
      <c r="B2" s="24"/>
      <c r="C2" s="24"/>
      <c r="D2" s="24"/>
      <c r="E2" s="24"/>
      <c r="F2" s="3"/>
    </row>
    <row r="3" spans="1:6" x14ac:dyDescent="0.2">
      <c r="B3" s="24"/>
      <c r="C3" s="24"/>
      <c r="D3" s="24"/>
      <c r="E3" s="24"/>
      <c r="F3" s="3"/>
    </row>
    <row r="4" spans="1:6" x14ac:dyDescent="0.2">
      <c r="B4" s="24"/>
      <c r="C4" s="24"/>
      <c r="D4" s="24"/>
      <c r="E4" s="24"/>
    </row>
    <row r="5" spans="1:6" x14ac:dyDescent="0.2">
      <c r="B5" s="24"/>
      <c r="C5" s="24"/>
      <c r="D5" s="24"/>
      <c r="E5" s="24"/>
    </row>
    <row r="8" spans="1:6" ht="15" x14ac:dyDescent="0.2">
      <c r="A8" s="8" t="s">
        <v>13</v>
      </c>
      <c r="B8" s="10">
        <v>500</v>
      </c>
      <c r="C8" s="8" t="s">
        <v>30</v>
      </c>
    </row>
    <row r="9" spans="1:6" ht="15" x14ac:dyDescent="0.2">
      <c r="A9" s="8" t="s">
        <v>15</v>
      </c>
      <c r="B9" s="10">
        <v>1</v>
      </c>
      <c r="C9" s="8" t="s">
        <v>31</v>
      </c>
    </row>
    <row r="10" spans="1:6" ht="15" x14ac:dyDescent="0.2">
      <c r="A10" s="8" t="s">
        <v>17</v>
      </c>
      <c r="B10" s="10">
        <v>100</v>
      </c>
      <c r="C10" s="8" t="s">
        <v>32</v>
      </c>
    </row>
    <row r="11" spans="1:6" ht="15" x14ac:dyDescent="0.2">
      <c r="A11" s="8" t="s">
        <v>19</v>
      </c>
      <c r="B11" s="12">
        <v>0.25</v>
      </c>
      <c r="C11" s="8" t="s">
        <v>20</v>
      </c>
    </row>
    <row r="12" spans="1:6" ht="15" x14ac:dyDescent="0.2">
      <c r="A12" s="8" t="s">
        <v>21</v>
      </c>
      <c r="B12" s="10">
        <v>1100</v>
      </c>
      <c r="C12" s="8" t="s">
        <v>22</v>
      </c>
    </row>
    <row r="13" spans="1:6" ht="15" x14ac:dyDescent="0.2">
      <c r="A13" s="8" t="s">
        <v>33</v>
      </c>
      <c r="B13" s="10">
        <v>50</v>
      </c>
      <c r="C13" s="8" t="s">
        <v>30</v>
      </c>
    </row>
    <row r="14" spans="1:6" ht="15" x14ac:dyDescent="0.2">
      <c r="A14" s="8" t="s">
        <v>34</v>
      </c>
      <c r="B14" s="13">
        <f>B11/12</f>
        <v>2.0833333333333332E-2</v>
      </c>
      <c r="C14" s="8" t="s">
        <v>35</v>
      </c>
    </row>
    <row r="15" spans="1:6" ht="15" x14ac:dyDescent="0.2">
      <c r="A15" s="8" t="s">
        <v>23</v>
      </c>
      <c r="B15" s="10">
        <f>SQRT(2*B8*B12/(B9*B10*B14))</f>
        <v>726.63608498339806</v>
      </c>
      <c r="C15" s="8" t="s">
        <v>30</v>
      </c>
    </row>
    <row r="16" spans="1:6" ht="15" x14ac:dyDescent="0.2">
      <c r="A16" s="8" t="s">
        <v>50</v>
      </c>
      <c r="B16" s="8">
        <v>700</v>
      </c>
      <c r="C16" s="8" t="s">
        <v>30</v>
      </c>
    </row>
    <row r="17" spans="1:3" ht="15.75" x14ac:dyDescent="0.25">
      <c r="A17" s="14" t="s">
        <v>51</v>
      </c>
      <c r="B17" s="16">
        <v>750</v>
      </c>
      <c r="C17" s="14" t="s">
        <v>30</v>
      </c>
    </row>
    <row r="18" spans="1:3" ht="15" x14ac:dyDescent="0.2">
      <c r="A18" s="8" t="s">
        <v>52</v>
      </c>
      <c r="B18" s="12">
        <f>B8/B16*B12+B16/2*B9*B10*B14</f>
        <v>1514.8809523809523</v>
      </c>
      <c r="C18" s="8" t="s">
        <v>29</v>
      </c>
    </row>
    <row r="19" spans="1:3" ht="15.75" x14ac:dyDescent="0.25">
      <c r="A19" s="14" t="s">
        <v>53</v>
      </c>
      <c r="B19" s="15">
        <f>B8/B17*B12+B17/2*B9*B10*B14</f>
        <v>1514.5833333333333</v>
      </c>
      <c r="C19" s="14" t="s">
        <v>29</v>
      </c>
    </row>
    <row r="24" spans="1:3" ht="15" x14ac:dyDescent="0.2">
      <c r="A24" s="9"/>
      <c r="B24" s="11"/>
      <c r="C24" s="9"/>
    </row>
    <row r="25" spans="1:3" ht="15" x14ac:dyDescent="0.2">
      <c r="A25" s="9"/>
      <c r="B25" s="11"/>
      <c r="C25" s="9"/>
    </row>
    <row r="26" spans="1:3" ht="15" x14ac:dyDescent="0.2">
      <c r="A26" s="9"/>
      <c r="B26" s="11"/>
      <c r="C26" s="9"/>
    </row>
  </sheetData>
  <mergeCells count="1">
    <mergeCell ref="B1:E5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2.75" x14ac:dyDescent="0.2"/>
  <cols>
    <col min="1" max="1" width="8.140625" style="4" bestFit="1" customWidth="1"/>
    <col min="2" max="2" width="9.140625" style="4"/>
    <col min="3" max="3" width="26.5703125" style="4" bestFit="1" customWidth="1"/>
    <col min="4" max="4" width="33.85546875" style="4" customWidth="1"/>
    <col min="5" max="5" width="14.42578125" style="4" customWidth="1"/>
    <col min="6" max="6" width="18.5703125" style="4" bestFit="1" customWidth="1"/>
    <col min="7" max="7" width="10.28515625" style="4" bestFit="1" customWidth="1"/>
    <col min="8" max="8" width="12" style="4" bestFit="1" customWidth="1"/>
    <col min="9" max="16384" width="9.140625" style="4"/>
  </cols>
  <sheetData>
    <row r="1" spans="1:8" ht="19.5" customHeight="1" x14ac:dyDescent="0.25">
      <c r="A1" s="2" t="s">
        <v>12</v>
      </c>
      <c r="B1" s="25" t="s">
        <v>8</v>
      </c>
      <c r="C1" s="25"/>
      <c r="D1" s="25"/>
      <c r="E1" s="25"/>
      <c r="F1" s="25"/>
      <c r="G1" s="25"/>
    </row>
    <row r="2" spans="1:8" ht="19.5" customHeight="1" x14ac:dyDescent="0.2">
      <c r="B2" s="25"/>
      <c r="C2" s="25"/>
      <c r="D2" s="25"/>
      <c r="E2" s="25"/>
      <c r="F2" s="25"/>
      <c r="G2" s="25"/>
    </row>
    <row r="3" spans="1:8" ht="19.5" customHeight="1" x14ac:dyDescent="0.2">
      <c r="B3" s="25"/>
      <c r="C3" s="25"/>
      <c r="D3" s="25"/>
      <c r="E3" s="25"/>
      <c r="F3" s="25"/>
      <c r="G3" s="25"/>
    </row>
    <row r="4" spans="1:8" ht="19.5" customHeight="1" x14ac:dyDescent="0.2">
      <c r="B4" s="25"/>
      <c r="C4" s="25"/>
      <c r="D4" s="25"/>
      <c r="E4" s="25"/>
      <c r="F4" s="25"/>
      <c r="G4" s="25"/>
    </row>
    <row r="6" spans="1:8" ht="15.75" x14ac:dyDescent="0.25">
      <c r="B6" s="5" t="s">
        <v>5</v>
      </c>
      <c r="C6" s="5" t="s">
        <v>6</v>
      </c>
      <c r="D6" s="5" t="s">
        <v>7</v>
      </c>
      <c r="E6" s="18" t="s">
        <v>36</v>
      </c>
      <c r="F6" s="18" t="s">
        <v>37</v>
      </c>
      <c r="G6" s="18" t="s">
        <v>38</v>
      </c>
      <c r="H6" s="18" t="s">
        <v>54</v>
      </c>
    </row>
    <row r="7" spans="1:8" ht="15.75" x14ac:dyDescent="0.25">
      <c r="B7" s="6">
        <v>1</v>
      </c>
      <c r="C7" s="6">
        <v>11000</v>
      </c>
      <c r="D7" s="6">
        <v>62</v>
      </c>
      <c r="E7" s="18">
        <f>SQRT(2*C7*$B$21/($B$19*D7*$B$20))</f>
        <v>1497.0259140830972</v>
      </c>
      <c r="F7" s="18">
        <f>C7/E7</f>
        <v>7.3479021949578689</v>
      </c>
      <c r="G7" s="18">
        <f>365/F7</f>
        <v>49.6740416945755</v>
      </c>
      <c r="H7" s="18">
        <f>C7/E7*$B$21+E7/2*$B$19*D7*$B$20</f>
        <v>17634.965267898886</v>
      </c>
    </row>
    <row r="8" spans="1:8" ht="15.75" x14ac:dyDescent="0.25">
      <c r="B8" s="6">
        <v>2</v>
      </c>
      <c r="C8" s="6">
        <v>56</v>
      </c>
      <c r="D8" s="6">
        <v>1450</v>
      </c>
      <c r="E8" s="18">
        <f t="shared" ref="E8:E16" si="0">SQRT(2*C8*$B$21/($B$19*D8*$B$20))</f>
        <v>22.08710688119033</v>
      </c>
      <c r="F8" s="18">
        <f t="shared" ref="F8:F16" si="1">C8/E8</f>
        <v>2.53541581073664</v>
      </c>
      <c r="G8" s="18">
        <f t="shared" ref="G8:G16" si="2">365/F8</f>
        <v>143.96060735061553</v>
      </c>
      <c r="H8" s="18">
        <f t="shared" ref="H8:H16" si="3">C8/E8*$B$21+E8/2*$B$19*D8*$B$20</f>
        <v>6084.9979457679365</v>
      </c>
    </row>
    <row r="9" spans="1:8" ht="15.75" x14ac:dyDescent="0.25">
      <c r="B9" s="6">
        <v>3</v>
      </c>
      <c r="C9" s="6">
        <v>785</v>
      </c>
      <c r="D9" s="6">
        <v>185</v>
      </c>
      <c r="E9" s="18">
        <f t="shared" si="0"/>
        <v>231.51428038009806</v>
      </c>
      <c r="F9" s="18">
        <f t="shared" si="1"/>
        <v>3.3907195647335193</v>
      </c>
      <c r="G9" s="18">
        <f t="shared" si="2"/>
        <v>107.64676731049146</v>
      </c>
      <c r="H9" s="18">
        <f t="shared" si="3"/>
        <v>8137.7269553604465</v>
      </c>
    </row>
    <row r="10" spans="1:8" ht="15.75" x14ac:dyDescent="0.25">
      <c r="B10" s="6">
        <v>4</v>
      </c>
      <c r="C10" s="6">
        <v>195000</v>
      </c>
      <c r="D10" s="6">
        <v>7</v>
      </c>
      <c r="E10" s="18">
        <f t="shared" si="0"/>
        <v>18758.456739511392</v>
      </c>
      <c r="F10" s="18">
        <f t="shared" si="1"/>
        <v>10.395311443145895</v>
      </c>
      <c r="G10" s="18">
        <f t="shared" si="2"/>
        <v>35.111983127803377</v>
      </c>
      <c r="H10" s="18">
        <f t="shared" si="3"/>
        <v>24948.747463550149</v>
      </c>
    </row>
    <row r="11" spans="1:8" ht="15.75" x14ac:dyDescent="0.25">
      <c r="B11" s="6">
        <v>5</v>
      </c>
      <c r="C11" s="6">
        <v>386</v>
      </c>
      <c r="D11" s="6">
        <v>245</v>
      </c>
      <c r="E11" s="18">
        <f t="shared" si="0"/>
        <v>141.07154753968527</v>
      </c>
      <c r="F11" s="18">
        <f t="shared" si="1"/>
        <v>2.7362002241551449</v>
      </c>
      <c r="G11" s="18">
        <f t="shared" si="2"/>
        <v>133.39667060099774</v>
      </c>
      <c r="H11" s="18">
        <f t="shared" si="3"/>
        <v>6566.880537972349</v>
      </c>
    </row>
    <row r="12" spans="1:8" ht="15.75" x14ac:dyDescent="0.25">
      <c r="B12" s="6">
        <v>6</v>
      </c>
      <c r="C12" s="6">
        <v>38</v>
      </c>
      <c r="D12" s="6">
        <v>13800</v>
      </c>
      <c r="E12" s="18">
        <f t="shared" si="0"/>
        <v>5.897678246195885</v>
      </c>
      <c r="F12" s="18">
        <f t="shared" si="1"/>
        <v>6.4432134839690054</v>
      </c>
      <c r="G12" s="18">
        <f t="shared" si="2"/>
        <v>56.648751575302576</v>
      </c>
      <c r="H12" s="18">
        <f t="shared" si="3"/>
        <v>15463.712361525611</v>
      </c>
    </row>
    <row r="13" spans="1:8" ht="15.75" x14ac:dyDescent="0.25">
      <c r="B13" s="6">
        <v>7</v>
      </c>
      <c r="C13" s="6">
        <v>6400</v>
      </c>
      <c r="D13" s="6">
        <v>655</v>
      </c>
      <c r="E13" s="18">
        <f t="shared" si="0"/>
        <v>351.31618446987335</v>
      </c>
      <c r="F13" s="18">
        <f t="shared" si="1"/>
        <v>18.217207982198222</v>
      </c>
      <c r="G13" s="18">
        <f t="shared" si="2"/>
        <v>20.036001145547466</v>
      </c>
      <c r="H13" s="18">
        <f t="shared" si="3"/>
        <v>43721.299157275731</v>
      </c>
    </row>
    <row r="14" spans="1:8" ht="15.75" x14ac:dyDescent="0.25">
      <c r="B14" s="6">
        <v>8</v>
      </c>
      <c r="C14" s="6">
        <v>1350</v>
      </c>
      <c r="D14" s="6">
        <v>2350</v>
      </c>
      <c r="E14" s="18">
        <f t="shared" si="0"/>
        <v>85.18473437045418</v>
      </c>
      <c r="F14" s="18">
        <f t="shared" si="1"/>
        <v>15.847909956836579</v>
      </c>
      <c r="G14" s="18">
        <f t="shared" si="2"/>
        <v>23.031428181641317</v>
      </c>
      <c r="H14" s="18">
        <f t="shared" si="3"/>
        <v>38034.983896407794</v>
      </c>
    </row>
    <row r="15" spans="1:8" ht="15.75" x14ac:dyDescent="0.25">
      <c r="B15" s="6">
        <v>9</v>
      </c>
      <c r="C15" s="6">
        <v>2350</v>
      </c>
      <c r="D15" s="6">
        <v>895</v>
      </c>
      <c r="E15" s="18">
        <f t="shared" si="0"/>
        <v>182.11731293828495</v>
      </c>
      <c r="F15" s="18">
        <f t="shared" si="1"/>
        <v>12.903770443814734</v>
      </c>
      <c r="G15" s="18">
        <f t="shared" si="2"/>
        <v>28.286306052116597</v>
      </c>
      <c r="H15" s="18">
        <f t="shared" si="3"/>
        <v>30969.049065155363</v>
      </c>
    </row>
    <row r="16" spans="1:8" ht="15.75" x14ac:dyDescent="0.25">
      <c r="B16" s="6">
        <v>10</v>
      </c>
      <c r="C16" s="6">
        <v>452000</v>
      </c>
      <c r="D16" s="6">
        <v>2</v>
      </c>
      <c r="E16" s="18">
        <f t="shared" si="0"/>
        <v>53429.737432494119</v>
      </c>
      <c r="F16" s="18">
        <f t="shared" si="1"/>
        <v>8.4597084268115683</v>
      </c>
      <c r="G16" s="18">
        <f t="shared" si="2"/>
        <v>43.145695050576002</v>
      </c>
      <c r="H16" s="18">
        <f t="shared" si="3"/>
        <v>20303.300224347764</v>
      </c>
    </row>
    <row r="19" spans="1:3" ht="15" x14ac:dyDescent="0.2">
      <c r="A19" s="8" t="s">
        <v>15</v>
      </c>
      <c r="B19" s="10">
        <v>1</v>
      </c>
      <c r="C19" s="8" t="s">
        <v>16</v>
      </c>
    </row>
    <row r="20" spans="1:3" ht="15" x14ac:dyDescent="0.2">
      <c r="A20" s="8" t="s">
        <v>19</v>
      </c>
      <c r="B20" s="12">
        <v>0.19</v>
      </c>
      <c r="C20" s="8" t="s">
        <v>20</v>
      </c>
    </row>
    <row r="21" spans="1:3" ht="15" x14ac:dyDescent="0.2">
      <c r="A21" s="8" t="s">
        <v>21</v>
      </c>
      <c r="B21" s="10">
        <v>1200</v>
      </c>
      <c r="C21" s="8" t="s">
        <v>22</v>
      </c>
    </row>
  </sheetData>
  <mergeCells count="1">
    <mergeCell ref="B1:G4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RowHeight="12.75" x14ac:dyDescent="0.2"/>
  <cols>
    <col min="1" max="1" width="14.85546875" style="4" customWidth="1"/>
    <col min="2" max="2" width="12.28515625" style="4" customWidth="1"/>
    <col min="3" max="3" width="26" style="4" customWidth="1"/>
    <col min="4" max="4" width="33.7109375" style="4" customWidth="1"/>
    <col min="5" max="5" width="19.140625" style="4" bestFit="1" customWidth="1"/>
    <col min="6" max="6" width="9.140625" style="4"/>
    <col min="7" max="7" width="18.5703125" style="4" bestFit="1" customWidth="1"/>
    <col min="8" max="8" width="10.28515625" style="4" bestFit="1" customWidth="1"/>
    <col min="9" max="9" width="12" style="4" bestFit="1" customWidth="1"/>
    <col min="10" max="10" width="12.85546875" style="4" bestFit="1" customWidth="1"/>
    <col min="11" max="16384" width="9.140625" style="4"/>
  </cols>
  <sheetData>
    <row r="1" spans="1:10" ht="18" x14ac:dyDescent="0.25">
      <c r="A1" s="2" t="s">
        <v>12</v>
      </c>
      <c r="B1" s="25" t="s">
        <v>10</v>
      </c>
      <c r="C1" s="25"/>
      <c r="D1" s="25"/>
      <c r="E1" s="25"/>
      <c r="F1" s="25"/>
      <c r="G1" s="25"/>
      <c r="H1" s="25"/>
      <c r="I1" s="25"/>
    </row>
    <row r="2" spans="1:10" x14ac:dyDescent="0.2">
      <c r="B2" s="25"/>
      <c r="C2" s="25"/>
      <c r="D2" s="25"/>
      <c r="E2" s="25"/>
      <c r="F2" s="25"/>
      <c r="G2" s="25"/>
      <c r="H2" s="25"/>
      <c r="I2" s="25"/>
    </row>
    <row r="3" spans="1:10" x14ac:dyDescent="0.2">
      <c r="B3" s="25"/>
      <c r="C3" s="25"/>
      <c r="D3" s="25"/>
      <c r="E3" s="25"/>
      <c r="F3" s="25"/>
      <c r="G3" s="25"/>
      <c r="H3" s="25"/>
      <c r="I3" s="25"/>
    </row>
    <row r="4" spans="1:10" x14ac:dyDescent="0.2">
      <c r="B4" s="25"/>
      <c r="C4" s="25"/>
      <c r="D4" s="25"/>
      <c r="E4" s="25"/>
      <c r="F4" s="25"/>
      <c r="G4" s="25"/>
      <c r="H4" s="25"/>
      <c r="I4" s="25"/>
    </row>
    <row r="5" spans="1:10" x14ac:dyDescent="0.2">
      <c r="B5" s="25"/>
      <c r="C5" s="25"/>
      <c r="D5" s="25"/>
      <c r="E5" s="25"/>
      <c r="F5" s="25"/>
      <c r="G5" s="25"/>
      <c r="H5" s="25"/>
      <c r="I5" s="25"/>
    </row>
    <row r="7" spans="1:10" ht="15.75" x14ac:dyDescent="0.25">
      <c r="B7" s="5" t="s">
        <v>5</v>
      </c>
      <c r="C7" s="5" t="s">
        <v>0</v>
      </c>
      <c r="D7" s="5" t="s">
        <v>1</v>
      </c>
      <c r="E7" s="20" t="s">
        <v>40</v>
      </c>
      <c r="F7" s="18" t="s">
        <v>36</v>
      </c>
      <c r="G7" s="18" t="s">
        <v>37</v>
      </c>
      <c r="H7" s="18" t="s">
        <v>38</v>
      </c>
      <c r="I7" s="18" t="s">
        <v>54</v>
      </c>
      <c r="J7" s="18" t="s">
        <v>55</v>
      </c>
    </row>
    <row r="8" spans="1:10" ht="15.75" x14ac:dyDescent="0.25">
      <c r="B8" s="6">
        <v>1</v>
      </c>
      <c r="C8" s="6">
        <v>11000</v>
      </c>
      <c r="D8" s="6">
        <v>62</v>
      </c>
      <c r="E8" s="20">
        <f>SQRT(C8*D8)</f>
        <v>825.83291288250314</v>
      </c>
      <c r="F8" s="18">
        <f>SQRT(2*C8*$B$21/(D8*($B$19*$B$22+$B$24)))</f>
        <v>1074.0199041814617</v>
      </c>
      <c r="G8" s="18">
        <f>C8/F8</f>
        <v>10.241895850508827</v>
      </c>
      <c r="H8" s="18">
        <f>$B$19*30/G8</f>
        <v>14.64572596611084</v>
      </c>
      <c r="I8" s="18">
        <f>C8/F8*$B$21+F8/2*$B$19*D8*$B$22</f>
        <v>16974.478038891029</v>
      </c>
      <c r="J8" s="18">
        <f>F8/2*D8</f>
        <v>33294.617029625311</v>
      </c>
    </row>
    <row r="9" spans="1:10" ht="15.75" x14ac:dyDescent="0.25">
      <c r="B9" s="6">
        <v>2</v>
      </c>
      <c r="C9" s="6">
        <v>56</v>
      </c>
      <c r="D9" s="6">
        <v>1450</v>
      </c>
      <c r="E9" s="20">
        <f t="shared" ref="E9:E17" si="0">SQRT(C9*D9)</f>
        <v>284.95613697550016</v>
      </c>
      <c r="F9" s="18">
        <f t="shared" ref="F9:F17" si="1">SQRT(2*C9*$B$21/(D9*($B$19*$B$22+$B$24)))</f>
        <v>15.846080013057795</v>
      </c>
      <c r="G9" s="18">
        <f t="shared" ref="G9:G17" si="2">C9/F9</f>
        <v>3.5339970487245926</v>
      </c>
      <c r="H9" s="18">
        <f t="shared" ref="H9:H17" si="3">$B$19*30/G9</f>
        <v>42.444857177833377</v>
      </c>
      <c r="I9" s="18">
        <f t="shared" ref="I9:I17" si="4">C9/F9*$B$21+F9/2*$B$19*D9*$B$22</f>
        <v>5857.0948356305598</v>
      </c>
      <c r="J9" s="18">
        <f t="shared" ref="J9:J17" si="5">F9/2*D9</f>
        <v>11488.408009466903</v>
      </c>
    </row>
    <row r="10" spans="1:10" ht="15.75" x14ac:dyDescent="0.25">
      <c r="B10" s="6">
        <v>3</v>
      </c>
      <c r="C10" s="6">
        <v>785</v>
      </c>
      <c r="D10" s="6">
        <v>185</v>
      </c>
      <c r="E10" s="20">
        <f t="shared" si="0"/>
        <v>381.08398024582453</v>
      </c>
      <c r="F10" s="18">
        <f t="shared" si="1"/>
        <v>166.09662056703101</v>
      </c>
      <c r="G10" s="18">
        <f t="shared" si="2"/>
        <v>4.7261647908314934</v>
      </c>
      <c r="H10" s="18">
        <f t="shared" si="3"/>
        <v>31.738207751661974</v>
      </c>
      <c r="I10" s="18">
        <f t="shared" si="4"/>
        <v>7832.942418191411</v>
      </c>
      <c r="J10" s="18">
        <f t="shared" si="5"/>
        <v>15363.937402450369</v>
      </c>
    </row>
    <row r="11" spans="1:10" ht="15.75" x14ac:dyDescent="0.25">
      <c r="B11" s="6">
        <v>4</v>
      </c>
      <c r="C11" s="6">
        <v>195000</v>
      </c>
      <c r="D11" s="6">
        <v>7</v>
      </c>
      <c r="E11" s="20">
        <f t="shared" si="0"/>
        <v>1168.3321445547922</v>
      </c>
      <c r="F11" s="18">
        <f t="shared" si="1"/>
        <v>13457.987413866369</v>
      </c>
      <c r="G11" s="18">
        <f t="shared" si="2"/>
        <v>14.489536511163827</v>
      </c>
      <c r="H11" s="18">
        <f t="shared" si="3"/>
        <v>10.352298010666438</v>
      </c>
      <c r="I11" s="18">
        <f t="shared" si="4"/>
        <v>24014.335128221497</v>
      </c>
      <c r="J11" s="18">
        <f t="shared" si="5"/>
        <v>47102.95594853229</v>
      </c>
    </row>
    <row r="12" spans="1:10" ht="15.75" x14ac:dyDescent="0.25">
      <c r="B12" s="6">
        <v>5</v>
      </c>
      <c r="C12" s="6">
        <v>386</v>
      </c>
      <c r="D12" s="6">
        <v>245</v>
      </c>
      <c r="E12" s="20">
        <f t="shared" si="0"/>
        <v>307.52235691084314</v>
      </c>
      <c r="F12" s="18">
        <f t="shared" si="1"/>
        <v>101.20977101729251</v>
      </c>
      <c r="G12" s="18">
        <f t="shared" si="2"/>
        <v>3.813861014803094</v>
      </c>
      <c r="H12" s="18">
        <f t="shared" si="3"/>
        <v>39.330221897911599</v>
      </c>
      <c r="I12" s="18">
        <f t="shared" si="4"/>
        <v>6320.9293459024493</v>
      </c>
      <c r="J12" s="18">
        <f t="shared" si="5"/>
        <v>12398.196949618332</v>
      </c>
    </row>
    <row r="13" spans="1:10" ht="15.75" x14ac:dyDescent="0.25">
      <c r="B13" s="6">
        <v>6</v>
      </c>
      <c r="C13" s="6">
        <v>38</v>
      </c>
      <c r="D13" s="6">
        <v>13800</v>
      </c>
      <c r="E13" s="20">
        <f t="shared" si="0"/>
        <v>724.15467960926685</v>
      </c>
      <c r="F13" s="18">
        <f t="shared" si="1"/>
        <v>4.2312051951031187</v>
      </c>
      <c r="G13" s="18">
        <f t="shared" si="2"/>
        <v>8.9808927357099968</v>
      </c>
      <c r="H13" s="18">
        <f t="shared" si="3"/>
        <v>16.702125770143891</v>
      </c>
      <c r="I13" s="18">
        <f t="shared" si="4"/>
        <v>14884.545667819075</v>
      </c>
      <c r="J13" s="18">
        <f t="shared" si="5"/>
        <v>29195.315846211517</v>
      </c>
    </row>
    <row r="14" spans="1:10" ht="15.75" x14ac:dyDescent="0.25">
      <c r="B14" s="6">
        <v>7</v>
      </c>
      <c r="C14" s="6">
        <v>6400</v>
      </c>
      <c r="D14" s="6">
        <v>655</v>
      </c>
      <c r="E14" s="20">
        <f t="shared" si="0"/>
        <v>2047.4374227311564</v>
      </c>
      <c r="F14" s="18">
        <f t="shared" si="1"/>
        <v>252.04678905831267</v>
      </c>
      <c r="G14" s="18">
        <f t="shared" si="2"/>
        <v>25.392110821611453</v>
      </c>
      <c r="H14" s="18">
        <f t="shared" si="3"/>
        <v>5.907346618554203</v>
      </c>
      <c r="I14" s="18">
        <f t="shared" si="4"/>
        <v>42083.793254069999</v>
      </c>
      <c r="J14" s="18">
        <f t="shared" si="5"/>
        <v>82545.323416597399</v>
      </c>
    </row>
    <row r="15" spans="1:10" ht="15.75" x14ac:dyDescent="0.25">
      <c r="B15" s="6">
        <v>8</v>
      </c>
      <c r="C15" s="6">
        <v>1350</v>
      </c>
      <c r="D15" s="6">
        <v>2350</v>
      </c>
      <c r="E15" s="20">
        <f t="shared" si="0"/>
        <v>1781.1513130556875</v>
      </c>
      <c r="F15" s="18">
        <f t="shared" si="1"/>
        <v>61.114573492413179</v>
      </c>
      <c r="G15" s="18">
        <f t="shared" si="2"/>
        <v>22.089657553898995</v>
      </c>
      <c r="H15" s="18">
        <f t="shared" si="3"/>
        <v>6.7905081658236863</v>
      </c>
      <c r="I15" s="18">
        <f t="shared" si="4"/>
        <v>36610.449130534107</v>
      </c>
      <c r="J15" s="18">
        <f t="shared" si="5"/>
        <v>71809.623853585479</v>
      </c>
    </row>
    <row r="16" spans="1:10" ht="15.75" x14ac:dyDescent="0.25">
      <c r="B16" s="6">
        <v>9</v>
      </c>
      <c r="C16" s="6">
        <v>2350</v>
      </c>
      <c r="D16" s="6">
        <v>895</v>
      </c>
      <c r="E16" s="20">
        <f t="shared" si="0"/>
        <v>1450.2585976300916</v>
      </c>
      <c r="F16" s="18">
        <f t="shared" si="1"/>
        <v>130.65747035619106</v>
      </c>
      <c r="G16" s="18">
        <f t="shared" si="2"/>
        <v>17.985959728085675</v>
      </c>
      <c r="H16" s="18">
        <f t="shared" si="3"/>
        <v>8.3398385333738965</v>
      </c>
      <c r="I16" s="18">
        <f t="shared" si="4"/>
        <v>29809.156709751256</v>
      </c>
      <c r="J16" s="18">
        <f t="shared" si="5"/>
        <v>58469.217984395495</v>
      </c>
    </row>
    <row r="17" spans="1:10" ht="15.75" x14ac:dyDescent="0.25">
      <c r="B17" s="6">
        <v>10</v>
      </c>
      <c r="C17" s="6">
        <v>452000</v>
      </c>
      <c r="D17" s="6">
        <v>2</v>
      </c>
      <c r="E17" s="20">
        <f t="shared" si="0"/>
        <v>950.789145920377</v>
      </c>
      <c r="F17" s="18">
        <f t="shared" si="1"/>
        <v>38332.403559516919</v>
      </c>
      <c r="G17" s="18">
        <f t="shared" si="2"/>
        <v>11.791590352486008</v>
      </c>
      <c r="H17" s="18">
        <f t="shared" si="3"/>
        <v>12.720930384795437</v>
      </c>
      <c r="I17" s="18">
        <f t="shared" si="4"/>
        <v>19542.875108608834</v>
      </c>
      <c r="J17" s="18">
        <f t="shared" si="5"/>
        <v>38332.403559516919</v>
      </c>
    </row>
    <row r="18" spans="1:10" ht="15.75" x14ac:dyDescent="0.25">
      <c r="D18" s="5" t="s">
        <v>41</v>
      </c>
      <c r="E18" s="21">
        <f>SUM(E8:E17)</f>
        <v>9921.5186905160426</v>
      </c>
      <c r="I18" s="18" t="s">
        <v>41</v>
      </c>
      <c r="J18" s="18">
        <f>SUM(J8:J17)</f>
        <v>400000</v>
      </c>
    </row>
    <row r="19" spans="1:10" ht="15" x14ac:dyDescent="0.2">
      <c r="A19" s="8" t="s">
        <v>15</v>
      </c>
      <c r="B19" s="10">
        <v>5</v>
      </c>
      <c r="C19" s="8" t="s">
        <v>39</v>
      </c>
    </row>
    <row r="20" spans="1:10" ht="15" x14ac:dyDescent="0.2">
      <c r="A20" s="8" t="s">
        <v>19</v>
      </c>
      <c r="B20" s="12">
        <v>0.19</v>
      </c>
      <c r="C20" s="8" t="s">
        <v>20</v>
      </c>
    </row>
    <row r="21" spans="1:10" ht="15" x14ac:dyDescent="0.2">
      <c r="A21" s="8" t="s">
        <v>21</v>
      </c>
      <c r="B21" s="10">
        <v>1400</v>
      </c>
      <c r="C21" s="8" t="s">
        <v>22</v>
      </c>
    </row>
    <row r="22" spans="1:10" ht="15" x14ac:dyDescent="0.2">
      <c r="A22" s="8" t="s">
        <v>34</v>
      </c>
      <c r="B22" s="13">
        <f>B20/12</f>
        <v>1.5833333333333335E-2</v>
      </c>
      <c r="C22" s="8" t="s">
        <v>35</v>
      </c>
    </row>
    <row r="23" spans="1:10" ht="15" x14ac:dyDescent="0.2">
      <c r="A23" s="19" t="s">
        <v>43</v>
      </c>
      <c r="B23" s="10">
        <v>400000</v>
      </c>
      <c r="C23" s="19" t="s">
        <v>29</v>
      </c>
    </row>
    <row r="24" spans="1:10" ht="15" x14ac:dyDescent="0.2">
      <c r="A24" s="19" t="s">
        <v>42</v>
      </c>
      <c r="B24" s="19">
        <f>B21*E18^2/(2*B23^2)-B19*B22</f>
        <v>0.35149316576071715</v>
      </c>
      <c r="C24" s="19"/>
    </row>
  </sheetData>
  <mergeCells count="1">
    <mergeCell ref="B1:I5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RowHeight="12.75" x14ac:dyDescent="0.2"/>
  <cols>
    <col min="1" max="1" width="16.28515625" style="4" customWidth="1"/>
    <col min="2" max="2" width="9.7109375" style="4" customWidth="1"/>
    <col min="3" max="3" width="26.28515625" style="4" customWidth="1"/>
    <col min="4" max="4" width="34.140625" style="4" customWidth="1"/>
    <col min="5" max="5" width="19.140625" style="4" bestFit="1" customWidth="1"/>
    <col min="6" max="6" width="12.140625" style="4" customWidth="1"/>
    <col min="7" max="7" width="18.5703125" style="4" bestFit="1" customWidth="1"/>
    <col min="8" max="9" width="12.140625" style="4" customWidth="1"/>
    <col min="10" max="10" width="21" style="4" bestFit="1" customWidth="1"/>
    <col min="11" max="16384" width="9.140625" style="4"/>
  </cols>
  <sheetData>
    <row r="1" spans="1:11" ht="23.25" customHeight="1" x14ac:dyDescent="0.25">
      <c r="A1" s="2" t="s">
        <v>12</v>
      </c>
      <c r="B1" s="26" t="s">
        <v>11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12.75" customHeight="1" x14ac:dyDescent="0.2"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 customHeigh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.75" customHeigh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</row>
    <row r="6" spans="1:11" ht="15.75" x14ac:dyDescent="0.25">
      <c r="B6" s="5" t="s">
        <v>5</v>
      </c>
      <c r="C6" s="5" t="s">
        <v>0</v>
      </c>
      <c r="D6" s="5" t="s">
        <v>1</v>
      </c>
      <c r="E6" s="20" t="s">
        <v>40</v>
      </c>
      <c r="F6" s="18" t="s">
        <v>36</v>
      </c>
      <c r="G6" s="18" t="s">
        <v>37</v>
      </c>
      <c r="H6" s="18" t="s">
        <v>38</v>
      </c>
      <c r="I6" s="18" t="s">
        <v>54</v>
      </c>
      <c r="J6" s="18" t="s">
        <v>56</v>
      </c>
    </row>
    <row r="7" spans="1:11" ht="15.75" x14ac:dyDescent="0.25">
      <c r="B7" s="6">
        <v>1</v>
      </c>
      <c r="C7" s="6">
        <v>11000</v>
      </c>
      <c r="D7" s="6">
        <v>62</v>
      </c>
      <c r="E7" s="20">
        <f>SQRT(C7*D7)</f>
        <v>825.83291288250314</v>
      </c>
      <c r="F7" s="18">
        <f>SQRT(2*C7*($B$20+$B$23)/($B$18*$B$21*D7))</f>
        <v>1887.907069218217</v>
      </c>
      <c r="G7" s="18">
        <f>C7/F7</f>
        <v>5.8265579801844289</v>
      </c>
      <c r="H7" s="18">
        <f>$B$18*30/G7</f>
        <v>87.530236845571878</v>
      </c>
      <c r="I7" s="18">
        <f>C7/F7*$B$20+F7/2*$B$18*D7*$B$21</f>
        <v>22744.880812956322</v>
      </c>
      <c r="J7" s="18">
        <f>C7/F7</f>
        <v>5.8265579801844289</v>
      </c>
    </row>
    <row r="8" spans="1:11" ht="15.75" x14ac:dyDescent="0.25">
      <c r="B8" s="6">
        <v>2</v>
      </c>
      <c r="C8" s="6">
        <v>56</v>
      </c>
      <c r="D8" s="6">
        <v>1450</v>
      </c>
      <c r="E8" s="20">
        <f t="shared" ref="E8:E16" si="0">SQRT(C8*D8)</f>
        <v>284.95613697550016</v>
      </c>
      <c r="F8" s="18">
        <f t="shared" ref="F8:F16" si="1">SQRT(2*C8*($B$20+$B$23)/($B$18*$B$21*D8))</f>
        <v>27.854163930834229</v>
      </c>
      <c r="G8" s="18">
        <f t="shared" ref="G8:G16" si="2">C8/F8</f>
        <v>2.0104714016567078</v>
      </c>
      <c r="H8" s="18">
        <f t="shared" ref="H8:H16" si="3">$B$18*30/G8</f>
        <v>253.67185008438312</v>
      </c>
      <c r="I8" s="18">
        <f t="shared" ref="I8:I16" si="4">C8/F8*$B$20+F8/2*$B$18*D8*$B$21</f>
        <v>7848.1897140739711</v>
      </c>
      <c r="J8" s="18">
        <f t="shared" ref="J8:J15" si="5">C8/F8</f>
        <v>2.0104714016567078</v>
      </c>
    </row>
    <row r="9" spans="1:11" ht="15.75" x14ac:dyDescent="0.25">
      <c r="B9" s="6">
        <v>3</v>
      </c>
      <c r="C9" s="6">
        <v>785</v>
      </c>
      <c r="D9" s="6">
        <v>185</v>
      </c>
      <c r="E9" s="20">
        <f t="shared" si="0"/>
        <v>381.08398024582453</v>
      </c>
      <c r="F9" s="18">
        <f t="shared" si="1"/>
        <v>291.9638480822544</v>
      </c>
      <c r="G9" s="18">
        <f t="shared" si="2"/>
        <v>2.6886890454288146</v>
      </c>
      <c r="H9" s="18">
        <f t="shared" si="3"/>
        <v>189.6835191362417</v>
      </c>
      <c r="I9" s="18">
        <f t="shared" si="4"/>
        <v>10495.718413745873</v>
      </c>
      <c r="J9" s="18">
        <f t="shared" si="5"/>
        <v>2.6886890454288146</v>
      </c>
    </row>
    <row r="10" spans="1:11" ht="15.75" x14ac:dyDescent="0.25">
      <c r="B10" s="6">
        <v>4</v>
      </c>
      <c r="C10" s="6">
        <v>195000</v>
      </c>
      <c r="D10" s="6">
        <v>7</v>
      </c>
      <c r="E10" s="20">
        <f t="shared" si="0"/>
        <v>1168.3321445547922</v>
      </c>
      <c r="F10" s="18">
        <f t="shared" si="1"/>
        <v>23656.386140675637</v>
      </c>
      <c r="G10" s="18">
        <f t="shared" si="2"/>
        <v>8.2430172909931514</v>
      </c>
      <c r="H10" s="18">
        <f t="shared" si="3"/>
        <v>61.87054836792089</v>
      </c>
      <c r="I10" s="18">
        <f t="shared" si="4"/>
        <v>32177.907859219955</v>
      </c>
      <c r="J10" s="18">
        <f t="shared" si="5"/>
        <v>8.2430172909931514</v>
      </c>
    </row>
    <row r="11" spans="1:11" ht="15.75" x14ac:dyDescent="0.25">
      <c r="B11" s="6">
        <v>5</v>
      </c>
      <c r="C11" s="6">
        <v>386</v>
      </c>
      <c r="D11" s="6">
        <v>245</v>
      </c>
      <c r="E11" s="20">
        <f t="shared" si="0"/>
        <v>307.52235691084314</v>
      </c>
      <c r="F11" s="18">
        <f t="shared" si="1"/>
        <v>177.90605316865748</v>
      </c>
      <c r="G11" s="18">
        <f t="shared" si="2"/>
        <v>2.1696844661832078</v>
      </c>
      <c r="H11" s="18">
        <f t="shared" si="3"/>
        <v>235.05722050781171</v>
      </c>
      <c r="I11" s="18">
        <f t="shared" si="4"/>
        <v>8469.7028250455623</v>
      </c>
      <c r="J11" s="18">
        <f t="shared" si="5"/>
        <v>2.1696844661832078</v>
      </c>
    </row>
    <row r="12" spans="1:11" ht="15.75" x14ac:dyDescent="0.25">
      <c r="B12" s="6">
        <v>6</v>
      </c>
      <c r="C12" s="6">
        <v>38</v>
      </c>
      <c r="D12" s="6">
        <v>13800</v>
      </c>
      <c r="E12" s="20">
        <f t="shared" si="0"/>
        <v>724.15467960926685</v>
      </c>
      <c r="F12" s="18">
        <f t="shared" si="1"/>
        <v>7.437592327710143</v>
      </c>
      <c r="G12" s="18">
        <f t="shared" si="2"/>
        <v>5.1091802730870155</v>
      </c>
      <c r="H12" s="18">
        <f t="shared" si="3"/>
        <v>99.820318082425601</v>
      </c>
      <c r="I12" s="18">
        <f t="shared" si="4"/>
        <v>19944.484678344084</v>
      </c>
      <c r="J12" s="18">
        <f t="shared" si="5"/>
        <v>5.1091802730870155</v>
      </c>
    </row>
    <row r="13" spans="1:11" ht="15.75" x14ac:dyDescent="0.25">
      <c r="B13" s="6">
        <v>7</v>
      </c>
      <c r="C13" s="6">
        <v>6400</v>
      </c>
      <c r="D13" s="6">
        <v>655</v>
      </c>
      <c r="E13" s="20">
        <f t="shared" si="0"/>
        <v>2047.4374227311564</v>
      </c>
      <c r="F13" s="18">
        <f t="shared" si="1"/>
        <v>443.04664465189018</v>
      </c>
      <c r="G13" s="18">
        <f t="shared" si="2"/>
        <v>14.445431597904543</v>
      </c>
      <c r="H13" s="18">
        <f t="shared" si="3"/>
        <v>35.305279495697498</v>
      </c>
      <c r="I13" s="18">
        <f t="shared" si="4"/>
        <v>56390.002657392601</v>
      </c>
      <c r="J13" s="18">
        <f t="shared" si="5"/>
        <v>14.445431597904543</v>
      </c>
    </row>
    <row r="14" spans="1:11" ht="15.75" x14ac:dyDescent="0.25">
      <c r="B14" s="6">
        <v>8</v>
      </c>
      <c r="C14" s="6">
        <v>1350</v>
      </c>
      <c r="D14" s="6">
        <v>2350</v>
      </c>
      <c r="E14" s="20">
        <f t="shared" si="0"/>
        <v>1781.1513130556875</v>
      </c>
      <c r="F14" s="18">
        <f t="shared" si="1"/>
        <v>107.42690603719875</v>
      </c>
      <c r="G14" s="18">
        <f t="shared" si="2"/>
        <v>12.56668417437746</v>
      </c>
      <c r="H14" s="18">
        <f t="shared" si="3"/>
        <v>40.583497836275086</v>
      </c>
      <c r="I14" s="18">
        <f t="shared" si="4"/>
        <v>49056.018104059505</v>
      </c>
      <c r="J14" s="18">
        <f t="shared" si="5"/>
        <v>12.56668417437746</v>
      </c>
    </row>
    <row r="15" spans="1:11" ht="15.75" x14ac:dyDescent="0.25">
      <c r="B15" s="6">
        <v>9</v>
      </c>
      <c r="C15" s="6">
        <v>2350</v>
      </c>
      <c r="D15" s="6">
        <v>895</v>
      </c>
      <c r="E15" s="20">
        <f t="shared" si="0"/>
        <v>1450.2585976300916</v>
      </c>
      <c r="F15" s="18">
        <f t="shared" si="1"/>
        <v>229.6690787305433</v>
      </c>
      <c r="G15" s="18">
        <f t="shared" si="2"/>
        <v>10.232113147269212</v>
      </c>
      <c r="H15" s="18">
        <f t="shared" si="3"/>
        <v>49.843076660671102</v>
      </c>
      <c r="I15" s="18">
        <f t="shared" si="4"/>
        <v>39942.654787064348</v>
      </c>
      <c r="J15" s="18">
        <f t="shared" si="5"/>
        <v>10.232113147269212</v>
      </c>
    </row>
    <row r="16" spans="1:11" ht="15.75" x14ac:dyDescent="0.25">
      <c r="B16" s="6">
        <v>10</v>
      </c>
      <c r="C16" s="6">
        <v>452000</v>
      </c>
      <c r="D16" s="6">
        <v>2</v>
      </c>
      <c r="E16" s="20">
        <f t="shared" si="0"/>
        <v>950.789145920377</v>
      </c>
      <c r="F16" s="18">
        <f t="shared" si="1"/>
        <v>67380.51629992004</v>
      </c>
      <c r="G16" s="18">
        <f t="shared" si="2"/>
        <v>6.7081706229154614</v>
      </c>
      <c r="H16" s="18">
        <f t="shared" si="3"/>
        <v>76.026688745485004</v>
      </c>
      <c r="I16" s="18">
        <f t="shared" si="4"/>
        <v>26186.393718227035</v>
      </c>
      <c r="J16" s="18">
        <f>C16/F16</f>
        <v>6.7081706229154614</v>
      </c>
    </row>
    <row r="17" spans="1:10" ht="15.75" x14ac:dyDescent="0.25">
      <c r="D17" s="5" t="s">
        <v>41</v>
      </c>
      <c r="E17" s="21">
        <f>SUM(E7:E16)</f>
        <v>9921.5186905160426</v>
      </c>
      <c r="I17" s="18" t="s">
        <v>41</v>
      </c>
      <c r="J17" s="18">
        <f>SUM(J7:J16)</f>
        <v>70</v>
      </c>
    </row>
    <row r="18" spans="1:10" ht="15" x14ac:dyDescent="0.2">
      <c r="A18" s="8" t="s">
        <v>15</v>
      </c>
      <c r="B18" s="10">
        <v>17</v>
      </c>
      <c r="C18" s="8" t="s">
        <v>39</v>
      </c>
    </row>
    <row r="19" spans="1:10" ht="15" x14ac:dyDescent="0.2">
      <c r="A19" s="8" t="s">
        <v>19</v>
      </c>
      <c r="B19" s="12">
        <v>0.19</v>
      </c>
      <c r="C19" s="8" t="s">
        <v>20</v>
      </c>
    </row>
    <row r="20" spans="1:10" ht="15" x14ac:dyDescent="0.2">
      <c r="A20" s="8" t="s">
        <v>21</v>
      </c>
      <c r="B20" s="10">
        <v>1200</v>
      </c>
      <c r="C20" s="8" t="s">
        <v>22</v>
      </c>
    </row>
    <row r="21" spans="1:10" ht="15" x14ac:dyDescent="0.2">
      <c r="A21" s="8" t="s">
        <v>34</v>
      </c>
      <c r="B21" s="13">
        <f>B19/12</f>
        <v>1.5833333333333335E-2</v>
      </c>
      <c r="C21" s="8" t="s">
        <v>35</v>
      </c>
    </row>
    <row r="22" spans="1:10" ht="15" x14ac:dyDescent="0.2">
      <c r="A22" s="19" t="s">
        <v>44</v>
      </c>
      <c r="B22" s="10">
        <v>70</v>
      </c>
      <c r="C22" s="19" t="s">
        <v>24</v>
      </c>
    </row>
    <row r="23" spans="1:10" ht="15" x14ac:dyDescent="0.2">
      <c r="A23" s="19" t="s">
        <v>45</v>
      </c>
      <c r="B23" s="19">
        <f>B18*B21*E17^2/(2*B22^2)-B20</f>
        <v>1503.6564795732747</v>
      </c>
      <c r="C23" s="19"/>
    </row>
  </sheetData>
  <mergeCells count="1">
    <mergeCell ref="B1:K4"/>
  </mergeCells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2.75" x14ac:dyDescent="0.2"/>
  <cols>
    <col min="1" max="1" width="14" style="4" customWidth="1"/>
    <col min="2" max="2" width="9.5703125" style="4" customWidth="1"/>
    <col min="3" max="3" width="26.42578125" style="4" customWidth="1"/>
    <col min="4" max="4" width="35.5703125" style="4" customWidth="1"/>
    <col min="5" max="5" width="15" style="4" customWidth="1"/>
    <col min="6" max="6" width="9.140625" style="4"/>
    <col min="7" max="7" width="15.85546875" style="4" customWidth="1"/>
    <col min="8" max="8" width="18.5703125" style="4" bestFit="1" customWidth="1"/>
    <col min="9" max="9" width="15.85546875" style="4" customWidth="1"/>
    <col min="10" max="10" width="12" style="4" bestFit="1" customWidth="1"/>
    <col min="11" max="16384" width="9.140625" style="4"/>
  </cols>
  <sheetData>
    <row r="1" spans="1:10" ht="22.5" customHeight="1" x14ac:dyDescent="0.25">
      <c r="A1" s="2" t="s">
        <v>12</v>
      </c>
      <c r="B1" s="26" t="s">
        <v>9</v>
      </c>
      <c r="C1" s="26"/>
      <c r="D1" s="26"/>
      <c r="E1" s="26"/>
      <c r="F1" s="26"/>
      <c r="G1" s="26"/>
      <c r="H1" s="26"/>
      <c r="I1" s="26"/>
      <c r="J1" s="26"/>
    </row>
    <row r="2" spans="1:10" ht="17.25" customHeight="1" x14ac:dyDescent="0.2">
      <c r="B2" s="26"/>
      <c r="C2" s="26"/>
      <c r="D2" s="26"/>
      <c r="E2" s="26"/>
      <c r="F2" s="26"/>
      <c r="G2" s="26"/>
      <c r="H2" s="26"/>
      <c r="I2" s="26"/>
      <c r="J2" s="26"/>
    </row>
    <row r="3" spans="1:10" ht="17.25" customHeight="1" x14ac:dyDescent="0.2">
      <c r="B3" s="26"/>
      <c r="C3" s="26"/>
      <c r="D3" s="26"/>
      <c r="E3" s="26"/>
      <c r="F3" s="26"/>
      <c r="G3" s="26"/>
      <c r="H3" s="26"/>
      <c r="I3" s="26"/>
      <c r="J3" s="26"/>
    </row>
    <row r="4" spans="1:10" ht="17.25" customHeight="1" x14ac:dyDescent="0.2">
      <c r="B4" s="26"/>
      <c r="C4" s="26"/>
      <c r="D4" s="26"/>
      <c r="E4" s="26"/>
      <c r="F4" s="26"/>
      <c r="G4" s="26"/>
      <c r="H4" s="26"/>
      <c r="I4" s="26"/>
      <c r="J4" s="26"/>
    </row>
    <row r="5" spans="1:10" ht="12.75" customHeight="1" x14ac:dyDescent="0.2">
      <c r="B5" s="7"/>
      <c r="C5" s="7"/>
      <c r="D5" s="7"/>
      <c r="E5" s="7"/>
      <c r="F5" s="7"/>
      <c r="G5" s="7"/>
    </row>
    <row r="6" spans="1:10" ht="15.75" x14ac:dyDescent="0.25">
      <c r="B6" s="5" t="s">
        <v>5</v>
      </c>
      <c r="C6" s="5" t="s">
        <v>0</v>
      </c>
      <c r="D6" s="5" t="s">
        <v>1</v>
      </c>
      <c r="E6" s="5" t="s">
        <v>2</v>
      </c>
      <c r="F6" s="6" t="s">
        <v>49</v>
      </c>
      <c r="G6" s="18" t="s">
        <v>36</v>
      </c>
      <c r="H6" s="18" t="s">
        <v>37</v>
      </c>
      <c r="I6" s="18" t="s">
        <v>38</v>
      </c>
      <c r="J6" s="18" t="s">
        <v>54</v>
      </c>
    </row>
    <row r="7" spans="1:10" ht="15.75" x14ac:dyDescent="0.25">
      <c r="B7" s="6">
        <v>1</v>
      </c>
      <c r="C7" s="6">
        <v>15000</v>
      </c>
      <c r="D7" s="6">
        <v>62</v>
      </c>
      <c r="E7" s="6">
        <v>1</v>
      </c>
      <c r="F7" s="17">
        <f>E7*SQRT(2*C7*$B$15/(D7*$B$16*$B$13+2*$B$18*E7))</f>
        <v>847.30119969010889</v>
      </c>
      <c r="G7" s="18">
        <f>F7/E7</f>
        <v>847.30119969010889</v>
      </c>
      <c r="H7" s="18">
        <f>C7/G7</f>
        <v>17.703267746447292</v>
      </c>
      <c r="I7" s="18">
        <f>$B$13*30/H7</f>
        <v>10.167614396281307</v>
      </c>
      <c r="J7" s="18">
        <f>C7/G7*$B$15+G7/2*$B$13*D7*$B$16</f>
        <v>23739.223328824119</v>
      </c>
    </row>
    <row r="8" spans="1:10" ht="15.75" x14ac:dyDescent="0.25">
      <c r="B8" s="6">
        <v>2</v>
      </c>
      <c r="C8" s="6">
        <v>161</v>
      </c>
      <c r="D8" s="6">
        <v>1450</v>
      </c>
      <c r="E8" s="6">
        <v>0.5</v>
      </c>
      <c r="F8" s="17">
        <f t="shared" ref="F8:F11" si="0">E8*SQRT(2*C8*$B$15/(D8*$B$16*$B$13+2*$B$18*E8))</f>
        <v>24.580739816228721</v>
      </c>
      <c r="G8" s="18">
        <f t="shared" ref="G8:G11" si="1">F8/E8</f>
        <v>49.161479632457443</v>
      </c>
      <c r="H8" s="18">
        <f t="shared" ref="H8:H11" si="2">C8/G8</f>
        <v>3.2749217721613166</v>
      </c>
      <c r="I8" s="18">
        <f t="shared" ref="I8:I11" si="3">$B$13*30/H8</f>
        <v>54.963144930697759</v>
      </c>
      <c r="J8" s="18">
        <f t="shared" ref="J8:J11" si="4">C8/G8*$B$15+G8/2*$B$13*D8*$B$16</f>
        <v>7315.9030362790872</v>
      </c>
    </row>
    <row r="9" spans="1:10" ht="15.75" x14ac:dyDescent="0.25">
      <c r="B9" s="6">
        <v>3</v>
      </c>
      <c r="C9" s="6">
        <v>542</v>
      </c>
      <c r="D9" s="6">
        <v>185</v>
      </c>
      <c r="E9" s="6">
        <v>0.25</v>
      </c>
      <c r="F9" s="17">
        <f t="shared" si="0"/>
        <v>53.280514976957285</v>
      </c>
      <c r="G9" s="18">
        <f t="shared" si="1"/>
        <v>213.12205990782914</v>
      </c>
      <c r="H9" s="18">
        <f t="shared" si="2"/>
        <v>2.5431435874559569</v>
      </c>
      <c r="I9" s="18">
        <f t="shared" si="3"/>
        <v>70.778543880828863</v>
      </c>
      <c r="J9" s="18">
        <f t="shared" si="4"/>
        <v>4924.5824063871969</v>
      </c>
    </row>
    <row r="10" spans="1:10" ht="15.75" x14ac:dyDescent="0.25">
      <c r="B10" s="6">
        <v>4</v>
      </c>
      <c r="C10" s="6">
        <v>174000</v>
      </c>
      <c r="D10" s="6">
        <v>7</v>
      </c>
      <c r="E10" s="6">
        <v>0.44</v>
      </c>
      <c r="F10" s="17">
        <f t="shared" si="0"/>
        <v>2003.7051098317486</v>
      </c>
      <c r="G10" s="18">
        <f t="shared" si="1"/>
        <v>4553.8752496176103</v>
      </c>
      <c r="H10" s="18">
        <f t="shared" si="2"/>
        <v>38.20921533030814</v>
      </c>
      <c r="I10" s="18">
        <f t="shared" si="3"/>
        <v>4.7109054306389071</v>
      </c>
      <c r="J10" s="18">
        <f t="shared" si="4"/>
        <v>47365.221916867624</v>
      </c>
    </row>
    <row r="11" spans="1:10" ht="15.75" x14ac:dyDescent="0.25">
      <c r="B11" s="6">
        <v>5</v>
      </c>
      <c r="C11" s="6">
        <v>254</v>
      </c>
      <c r="D11" s="6">
        <v>245</v>
      </c>
      <c r="E11" s="6">
        <v>0.66</v>
      </c>
      <c r="F11" s="17">
        <f t="shared" si="0"/>
        <v>71.130537856914188</v>
      </c>
      <c r="G11" s="18">
        <f t="shared" si="1"/>
        <v>107.77354220744573</v>
      </c>
      <c r="H11" s="18">
        <f t="shared" si="2"/>
        <v>2.3567936508117477</v>
      </c>
      <c r="I11" s="18">
        <f t="shared" si="3"/>
        <v>76.374951170630823</v>
      </c>
      <c r="J11" s="18">
        <f t="shared" si="4"/>
        <v>4082.3669784132471</v>
      </c>
    </row>
    <row r="12" spans="1:10" ht="15.75" x14ac:dyDescent="0.25">
      <c r="E12" s="22" t="s">
        <v>41</v>
      </c>
      <c r="F12" s="23">
        <f>SUM(F7:F11)</f>
        <v>2999.9981021719577</v>
      </c>
    </row>
    <row r="13" spans="1:10" ht="15" x14ac:dyDescent="0.2">
      <c r="A13" s="8" t="s">
        <v>15</v>
      </c>
      <c r="B13" s="10">
        <v>6</v>
      </c>
      <c r="C13" s="8" t="s">
        <v>39</v>
      </c>
    </row>
    <row r="14" spans="1:10" ht="15" x14ac:dyDescent="0.2">
      <c r="A14" s="8" t="s">
        <v>19</v>
      </c>
      <c r="B14" s="12">
        <v>0.19</v>
      </c>
      <c r="C14" s="8" t="s">
        <v>20</v>
      </c>
    </row>
    <row r="15" spans="1:10" ht="15" x14ac:dyDescent="0.2">
      <c r="A15" s="8" t="s">
        <v>21</v>
      </c>
      <c r="B15" s="10">
        <v>1200</v>
      </c>
      <c r="C15" s="8" t="s">
        <v>22</v>
      </c>
    </row>
    <row r="16" spans="1:10" ht="15" x14ac:dyDescent="0.2">
      <c r="A16" s="8" t="s">
        <v>34</v>
      </c>
      <c r="B16" s="13">
        <f>B14/12</f>
        <v>1.5833333333333335E-2</v>
      </c>
      <c r="C16" s="8" t="s">
        <v>35</v>
      </c>
    </row>
    <row r="17" spans="1:3" ht="15" x14ac:dyDescent="0.2">
      <c r="A17" s="19" t="s">
        <v>46</v>
      </c>
      <c r="B17" s="10">
        <v>3000</v>
      </c>
      <c r="C17" s="19" t="s">
        <v>47</v>
      </c>
    </row>
    <row r="18" spans="1:3" ht="15" x14ac:dyDescent="0.2">
      <c r="A18" s="19" t="s">
        <v>48</v>
      </c>
      <c r="B18" s="19">
        <v>22.127455112192074</v>
      </c>
      <c r="C18" s="19"/>
    </row>
  </sheetData>
  <mergeCells count="1">
    <mergeCell ref="B1:J4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Projekt</vt:lpstr>
      <vt:lpstr>Řešení 1</vt:lpstr>
      <vt:lpstr>Řešení 2</vt:lpstr>
      <vt:lpstr>Řešení 3</vt:lpstr>
      <vt:lpstr>Řešení 4</vt:lpstr>
      <vt:lpstr>Řešení 5</vt:lpstr>
      <vt:lpstr>Řešení 6</vt:lpstr>
    </vt:vector>
  </TitlesOfParts>
  <Company>VŠCHT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dyntarj</dc:creator>
  <cp:lastModifiedBy>jakub.dyntar</cp:lastModifiedBy>
  <dcterms:created xsi:type="dcterms:W3CDTF">2007-03-07T10:20:19Z</dcterms:created>
  <dcterms:modified xsi:type="dcterms:W3CDTF">2024-04-17T08:20:26Z</dcterms:modified>
</cp:coreProperties>
</file>