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kub.dyntar\Desktop\Výuka\Logistika\"/>
    </mc:Choice>
  </mc:AlternateContent>
  <bookViews>
    <workbookView xWindow="0" yWindow="0" windowWidth="28800" windowHeight="12300" tabRatio="910"/>
  </bookViews>
  <sheets>
    <sheet name="Projekt" sheetId="6" r:id="rId1"/>
    <sheet name="Řešení 1" sheetId="1" r:id="rId2"/>
    <sheet name="Řešení 2" sheetId="2" r:id="rId3"/>
    <sheet name="Řešení 3" sheetId="5" r:id="rId4"/>
  </sheets>
  <calcPr calcId="162913"/>
</workbook>
</file>

<file path=xl/calcChain.xml><?xml version="1.0" encoding="utf-8"?>
<calcChain xmlns="http://schemas.openxmlformats.org/spreadsheetml/2006/main">
  <c r="H35" i="5" l="1"/>
  <c r="C37" i="5"/>
  <c r="C38" i="5"/>
  <c r="C39" i="5"/>
  <c r="C36" i="5"/>
  <c r="I25" i="5"/>
  <c r="C18" i="5"/>
  <c r="C19" i="5" s="1"/>
  <c r="I17" i="5" s="1"/>
  <c r="C16" i="5"/>
  <c r="F40" i="2"/>
  <c r="F41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C31" i="2" s="1"/>
  <c r="C33" i="2" s="1"/>
  <c r="C13" i="1"/>
  <c r="C12" i="1"/>
  <c r="C11" i="1"/>
  <c r="C10" i="1"/>
  <c r="F36" i="2" l="1"/>
  <c r="F37" i="2"/>
  <c r="F34" i="2"/>
  <c r="F38" i="2"/>
  <c r="F32" i="2"/>
  <c r="F35" i="2"/>
  <c r="F39" i="2"/>
  <c r="F33" i="2"/>
  <c r="I24" i="5"/>
  <c r="I23" i="5"/>
  <c r="I19" i="5"/>
  <c r="I21" i="5"/>
  <c r="I20" i="5"/>
  <c r="I16" i="5"/>
  <c r="I22" i="5"/>
  <c r="I18" i="5"/>
  <c r="F42" i="2" l="1"/>
  <c r="C35" i="2" s="1"/>
  <c r="C36" i="2" s="1"/>
  <c r="C37" i="2" s="1"/>
  <c r="I26" i="5"/>
  <c r="C24" i="5" s="1"/>
  <c r="C26" i="5" s="1"/>
  <c r="D38" i="5" s="1"/>
  <c r="C38" i="2" l="1"/>
  <c r="C32" i="5"/>
  <c r="C44" i="5" s="1"/>
  <c r="C28" i="5"/>
  <c r="D40" i="5" s="1"/>
  <c r="C27" i="5"/>
  <c r="D39" i="5" s="1"/>
  <c r="C33" i="5"/>
  <c r="D45" i="5" s="1"/>
  <c r="D36" i="5"/>
  <c r="C25" i="5"/>
  <c r="D37" i="5" s="1"/>
  <c r="C30" i="5"/>
  <c r="D42" i="5" s="1"/>
  <c r="C40" i="5"/>
  <c r="C29" i="5"/>
  <c r="C31" i="5"/>
  <c r="C43" i="5" s="1"/>
  <c r="C45" i="5" l="1"/>
  <c r="D43" i="5"/>
  <c r="D44" i="5"/>
  <c r="C42" i="5"/>
  <c r="D41" i="5"/>
  <c r="C41" i="5"/>
  <c r="D46" i="5"/>
  <c r="D47" i="5" s="1"/>
  <c r="C46" i="5" l="1"/>
  <c r="C47" i="5" s="1"/>
  <c r="H36" i="5" s="1"/>
  <c r="H37" i="5"/>
  <c r="H38" i="5" s="1"/>
</calcChain>
</file>

<file path=xl/sharedStrings.xml><?xml version="1.0" encoding="utf-8"?>
<sst xmlns="http://schemas.openxmlformats.org/spreadsheetml/2006/main" count="90" uniqueCount="59">
  <si>
    <t>Typ vykládacího zařízení</t>
  </si>
  <si>
    <t>Výkon [t /den]</t>
  </si>
  <si>
    <t>Drapákové jeřáby</t>
  </si>
  <si>
    <t>Klasické jeřáby</t>
  </si>
  <si>
    <t>Korečkové vykladače</t>
  </si>
  <si>
    <t>Úkol:</t>
  </si>
  <si>
    <t>Charakteristiky vykládacího zařízení:</t>
  </si>
  <si>
    <r>
      <t>N</t>
    </r>
    <r>
      <rPr>
        <b/>
        <vertAlign val="subscript"/>
        <sz val="11"/>
        <rFont val="Arial"/>
        <family val="2"/>
        <charset val="238"/>
      </rPr>
      <t>f</t>
    </r>
    <r>
      <rPr>
        <b/>
        <sz val="11"/>
        <rFont val="Arial"/>
        <family val="2"/>
        <charset val="238"/>
      </rPr>
      <t xml:space="preserve"> [$/ks zař.,den]</t>
    </r>
  </si>
  <si>
    <r>
      <t>n</t>
    </r>
    <r>
      <rPr>
        <b/>
        <vertAlign val="subscript"/>
        <sz val="11"/>
        <rFont val="Arial"/>
        <family val="2"/>
        <charset val="238"/>
      </rPr>
      <t>v</t>
    </r>
    <r>
      <rPr>
        <b/>
        <sz val="11"/>
        <rFont val="Arial"/>
        <family val="2"/>
        <charset val="238"/>
      </rPr>
      <t xml:space="preserve"> [$/den]</t>
    </r>
  </si>
  <si>
    <t>Do kontejnerového překladiště v přístavu přijíždí průměrně 14,1 nákladních lodí za týden. Kapacita jedné lodi je 1 200 tun. Přístav není příliš velký, vejde se do něj maximálně 9 nákladních lodí, a proto se při prodlení lodi v přístavu platí penále 20 000 $/den. Management kontejnerového překladiště by rád zakoupil nové vykládací zařízení a rozhoduje se mezi 3 variantami: drapákový jeřáb, klasický jeřáb, korečkový vykladač. Vaším úkolem je doporučit vedení, jaký typ by mělo zakoupit a samozřejmě také jaký počet. Vaše tvrzení podložte výpočtem. Charakteristiky jednotlivých typů vykladačů najdete v tabulce níže. Předpokládejte, že proces obsluhy i vstup požadavků na obsluhu sledují exponenciální rozdělení.</t>
  </si>
  <si>
    <t>Intenzita příjezdu nákladních automobilů se zbožím do skladu je 8 za směnu. Skladník na příjmu zboží je za směnu schopen vyložit a zkontrolovat zboží z 10 automobilů. Určete průměrnou délku fronty a čas zdržení automobilů ve frontě. Stanovte využití skladníka. Předpokládejte, že proces obsluhy i vstup požadavků na obsluhu sledují exponenciální rozdělení.</t>
  </si>
  <si>
    <t>Čas příchodu objednávky do skladu [min od začátku sledování]</t>
  </si>
  <si>
    <t>Určete minimální počet skladníků provádějích kompletaci objednávky a jejich průměrné využití tak, aby průměrná doba zdržení objednávky ve frontě nepřekročila 5 minut. Průměrná doba vyřízení jedné objednávky je 30 minut. Předpokládejte, že proces obsluhy i vstup požadavků na obsluhu sledují exponenciální rozdělení. Pro účely stanovení intenzity vstupu požadavků byly sledovány časy příchodu ojednávek do skladu. Tyto časy jsou zachyceny v tabulce níže:</t>
  </si>
  <si>
    <t>lambda</t>
  </si>
  <si>
    <t>mí</t>
  </si>
  <si>
    <t>ró</t>
  </si>
  <si>
    <t>aut/směna</t>
  </si>
  <si>
    <t>nf prům</t>
  </si>
  <si>
    <t>aut</t>
  </si>
  <si>
    <t>Tf prům</t>
  </si>
  <si>
    <t>směny</t>
  </si>
  <si>
    <t>Využití skladníka</t>
  </si>
  <si>
    <t>Rozdíl časů 2 po sobě jdoucích objednávek[min]</t>
  </si>
  <si>
    <t>objednávek/hodinu</t>
  </si>
  <si>
    <t>S</t>
  </si>
  <si>
    <t>i</t>
  </si>
  <si>
    <t>ró na i/ i!</t>
  </si>
  <si>
    <t>Suma</t>
  </si>
  <si>
    <t>p0</t>
  </si>
  <si>
    <t>objednávek</t>
  </si>
  <si>
    <t>minut</t>
  </si>
  <si>
    <t>skladníků</t>
  </si>
  <si>
    <t>t/den</t>
  </si>
  <si>
    <t>Zvol vykládací zařízení</t>
  </si>
  <si>
    <t>jeřábů/vykladačů</t>
  </si>
  <si>
    <t>n</t>
  </si>
  <si>
    <t>pn</t>
  </si>
  <si>
    <t>N</t>
  </si>
  <si>
    <t>lodí</t>
  </si>
  <si>
    <t>(n-S)*pn</t>
  </si>
  <si>
    <t>nf prum</t>
  </si>
  <si>
    <t>Tf prum</t>
  </si>
  <si>
    <t>dnů</t>
  </si>
  <si>
    <t>n*pn</t>
  </si>
  <si>
    <t>nprum</t>
  </si>
  <si>
    <t>Ts prum</t>
  </si>
  <si>
    <t>Fixní náklady</t>
  </si>
  <si>
    <t>$/den</t>
  </si>
  <si>
    <t>Penále</t>
  </si>
  <si>
    <t>Variabilní náklady</t>
  </si>
  <si>
    <t>Celkové náklady</t>
  </si>
  <si>
    <t>Typ vykládacího zařízení/S</t>
  </si>
  <si>
    <t>Pořídím 7ks klasických jeřábů!</t>
  </si>
  <si>
    <t>ró^i/i!</t>
  </si>
  <si>
    <r>
      <t>Model: M/M/S/FIFO/</t>
    </r>
    <r>
      <rPr>
        <b/>
        <sz val="14"/>
        <rFont val="Calibri"/>
        <family val="2"/>
        <charset val="238"/>
      </rPr>
      <t>∞/∞</t>
    </r>
  </si>
  <si>
    <t>Vzorce</t>
  </si>
  <si>
    <r>
      <t>Model: M/M/1/FIFO/</t>
    </r>
    <r>
      <rPr>
        <b/>
        <sz val="14"/>
        <rFont val="Calibri"/>
        <family val="2"/>
        <charset val="238"/>
      </rPr>
      <t>∞/∞</t>
    </r>
  </si>
  <si>
    <r>
      <t>Mezivýpočet do p</t>
    </r>
    <r>
      <rPr>
        <b/>
        <vertAlign val="subscript"/>
        <sz val="14"/>
        <rFont val="Arial"/>
        <family val="2"/>
        <charset val="238"/>
      </rPr>
      <t>0</t>
    </r>
  </si>
  <si>
    <r>
      <t>Model: M/M/S/FIFO/N=9</t>
    </r>
    <r>
      <rPr>
        <b/>
        <sz val="14"/>
        <rFont val="Calibri"/>
        <family val="2"/>
        <charset val="238"/>
      </rPr>
      <t>/∞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</si>
</sst>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00000"/>
    <numFmt numFmtId="166" formatCode="0.0%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vertAlign val="subscript"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</font>
    <font>
      <b/>
      <vertAlign val="subscript"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7" fillId="2" borderId="3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4" fillId="2" borderId="0" xfId="1" applyFont="1" applyFill="1"/>
    <xf numFmtId="0" fontId="2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164" fontId="10" fillId="2" borderId="0" xfId="0" applyNumberFormat="1" applyFont="1" applyFill="1"/>
    <xf numFmtId="3" fontId="7" fillId="2" borderId="0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0" fillId="2" borderId="0" xfId="0" applyNumberFormat="1" applyFill="1"/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3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0" xfId="0" applyFont="1" applyFill="1"/>
    <xf numFmtId="0" fontId="3" fillId="2" borderId="1" xfId="0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vertical="top"/>
    </xf>
    <xf numFmtId="166" fontId="4" fillId="2" borderId="0" xfId="1" applyNumberFormat="1" applyFont="1" applyFill="1"/>
    <xf numFmtId="0" fontId="5" fillId="2" borderId="0" xfId="0" applyFont="1" applyFill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celkových nákladů pro daný počet vykládacích zařízení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Příklad_4!#REF!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C0-4F60-AFF0-97D011DCF6DA}"/>
            </c:ext>
          </c:extLst>
        </c:ser>
        <c:ser>
          <c:idx val="2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Příklad_4!#REF!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C0-4F60-AFF0-97D011DCF6DA}"/>
            </c:ext>
          </c:extLst>
        </c:ser>
        <c:ser>
          <c:idx val="3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Příklad_4!#REF!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C0-4F60-AFF0-97D011DCF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27176"/>
        <c:axId val="1"/>
      </c:lineChart>
      <c:catAx>
        <c:axId val="290627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Počet [ks]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Nc [$]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0627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image" Target="../media/image10.png"/><Relationship Id="rId5" Type="http://schemas.openxmlformats.org/officeDocument/2006/relationships/image" Target="../media/image4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305438</xdr:colOff>
      <xdr:row>21</xdr:row>
      <xdr:rowOff>29054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361586</xdr:colOff>
      <xdr:row>14</xdr:row>
      <xdr:rowOff>136963</xdr:rowOff>
    </xdr:from>
    <xdr:to>
      <xdr:col>1</xdr:col>
      <xdr:colOff>1076325</xdr:colOff>
      <xdr:row>19</xdr:row>
      <xdr:rowOff>116551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586" y="2861113"/>
          <a:ext cx="1190989" cy="970188"/>
        </a:xfrm>
        <a:prstGeom prst="rect">
          <a:avLst/>
        </a:prstGeom>
      </xdr:spPr>
    </xdr:pic>
    <xdr:clientData/>
  </xdr:twoCellAnchor>
  <xdr:twoCellAnchor editAs="oneCell">
    <xdr:from>
      <xdr:col>1</xdr:col>
      <xdr:colOff>1096687</xdr:colOff>
      <xdr:row>14</xdr:row>
      <xdr:rowOff>152431</xdr:rowOff>
    </xdr:from>
    <xdr:to>
      <xdr:col>3</xdr:col>
      <xdr:colOff>514350</xdr:colOff>
      <xdr:row>19</xdr:row>
      <xdr:rowOff>132277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2937" y="2876581"/>
          <a:ext cx="1208363" cy="970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2581198</xdr:colOff>
      <xdr:row>21</xdr:row>
      <xdr:rowOff>47624</xdr:rowOff>
    </xdr:from>
    <xdr:to>
      <xdr:col>5</xdr:col>
      <xdr:colOff>514350</xdr:colOff>
      <xdr:row>27</xdr:row>
      <xdr:rowOff>43143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073" y="3705224"/>
          <a:ext cx="1171652" cy="967069"/>
        </a:xfrm>
        <a:prstGeom prst="rect">
          <a:avLst/>
        </a:prstGeom>
      </xdr:spPr>
    </xdr:pic>
    <xdr:clientData/>
  </xdr:twoCellAnchor>
  <xdr:twoCellAnchor editAs="oneCell">
    <xdr:from>
      <xdr:col>3</xdr:col>
      <xdr:colOff>2627613</xdr:colOff>
      <xdr:row>15</xdr:row>
      <xdr:rowOff>38100</xdr:rowOff>
    </xdr:from>
    <xdr:to>
      <xdr:col>8</xdr:col>
      <xdr:colOff>133351</xdr:colOff>
      <xdr:row>22</xdr:row>
      <xdr:rowOff>67140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3488" y="2724150"/>
          <a:ext cx="2573038" cy="116251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85724</xdr:colOff>
      <xdr:row>8</xdr:row>
      <xdr:rowOff>52111</xdr:rowOff>
    </xdr:from>
    <xdr:to>
      <xdr:col>8</xdr:col>
      <xdr:colOff>95427</xdr:colOff>
      <xdr:row>14</xdr:row>
      <xdr:rowOff>47625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499" y="1604686"/>
          <a:ext cx="2448103" cy="967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14</xdr:row>
      <xdr:rowOff>0</xdr:rowOff>
    </xdr:from>
    <xdr:to>
      <xdr:col>20</xdr:col>
      <xdr:colOff>333375</xdr:colOff>
      <xdr:row>14</xdr:row>
      <xdr:rowOff>0</xdr:rowOff>
    </xdr:to>
    <xdr:graphicFrame macro="">
      <xdr:nvGraphicFramePr>
        <xdr:cNvPr id="5124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90854</xdr:colOff>
      <xdr:row>21</xdr:row>
      <xdr:rowOff>48828</xdr:rowOff>
    </xdr:from>
    <xdr:to>
      <xdr:col>5</xdr:col>
      <xdr:colOff>304800</xdr:colOff>
      <xdr:row>26</xdr:row>
      <xdr:rowOff>49492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5604" y="3973128"/>
          <a:ext cx="2423746" cy="924589"/>
        </a:xfrm>
        <a:prstGeom prst="rect">
          <a:avLst/>
        </a:prstGeom>
      </xdr:spPr>
    </xdr:pic>
    <xdr:clientData/>
  </xdr:twoCellAnchor>
  <xdr:twoCellAnchor editAs="oneCell">
    <xdr:from>
      <xdr:col>3</xdr:col>
      <xdr:colOff>84258</xdr:colOff>
      <xdr:row>26</xdr:row>
      <xdr:rowOff>2466</xdr:rowOff>
    </xdr:from>
    <xdr:to>
      <xdr:col>5</xdr:col>
      <xdr:colOff>973510</xdr:colOff>
      <xdr:row>31</xdr:row>
      <xdr:rowOff>95250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99008" y="4850691"/>
          <a:ext cx="3099052" cy="1045284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1838323</xdr:colOff>
      <xdr:row>48</xdr:row>
      <xdr:rowOff>82838</xdr:rowOff>
    </xdr:from>
    <xdr:to>
      <xdr:col>2</xdr:col>
      <xdr:colOff>1332148</xdr:colOff>
      <xdr:row>51</xdr:row>
      <xdr:rowOff>66674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14573" y="8902988"/>
          <a:ext cx="1341675" cy="469611"/>
        </a:xfrm>
        <a:prstGeom prst="rect">
          <a:avLst/>
        </a:prstGeom>
      </xdr:spPr>
    </xdr:pic>
    <xdr:clientData/>
  </xdr:twoCellAnchor>
  <xdr:twoCellAnchor editAs="oneCell">
    <xdr:from>
      <xdr:col>2</xdr:col>
      <xdr:colOff>167054</xdr:colOff>
      <xdr:row>51</xdr:row>
      <xdr:rowOff>135646</xdr:rowOff>
    </xdr:from>
    <xdr:to>
      <xdr:col>2</xdr:col>
      <xdr:colOff>1095375</xdr:colOff>
      <xdr:row>56</xdr:row>
      <xdr:rowOff>79590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91154" y="9441571"/>
          <a:ext cx="928321" cy="753569"/>
        </a:xfrm>
        <a:prstGeom prst="rect">
          <a:avLst/>
        </a:prstGeom>
      </xdr:spPr>
    </xdr:pic>
    <xdr:clientData/>
  </xdr:twoCellAnchor>
  <xdr:twoCellAnchor editAs="oneCell">
    <xdr:from>
      <xdr:col>3</xdr:col>
      <xdr:colOff>157528</xdr:colOff>
      <xdr:row>48</xdr:row>
      <xdr:rowOff>33521</xdr:rowOff>
    </xdr:from>
    <xdr:to>
      <xdr:col>4</xdr:col>
      <xdr:colOff>37333</xdr:colOff>
      <xdr:row>52</xdr:row>
      <xdr:rowOff>9525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72278" y="8853671"/>
          <a:ext cx="1079955" cy="623704"/>
        </a:xfrm>
        <a:prstGeom prst="rect">
          <a:avLst/>
        </a:prstGeom>
      </xdr:spPr>
    </xdr:pic>
    <xdr:clientData/>
  </xdr:twoCellAnchor>
  <xdr:twoCellAnchor editAs="oneCell">
    <xdr:from>
      <xdr:col>3</xdr:col>
      <xdr:colOff>254444</xdr:colOff>
      <xdr:row>52</xdr:row>
      <xdr:rowOff>4395</xdr:rowOff>
    </xdr:from>
    <xdr:to>
      <xdr:col>3</xdr:col>
      <xdr:colOff>1106954</xdr:colOff>
      <xdr:row>56</xdr:row>
      <xdr:rowOff>66674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69194" y="9472245"/>
          <a:ext cx="852510" cy="709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cols>
    <col min="1" max="16384" width="9.140625" style="1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5" x14ac:dyDescent="0.2"/>
  <cols>
    <col min="1" max="1" width="7.140625" style="3" bestFit="1" customWidth="1"/>
    <col min="2" max="2" width="21" style="3" customWidth="1"/>
    <col min="3" max="3" width="5.85546875" style="3" bestFit="1" customWidth="1"/>
    <col min="4" max="4" width="65" style="3" bestFit="1" customWidth="1"/>
    <col min="5" max="16384" width="9.140625" style="3"/>
  </cols>
  <sheetData>
    <row r="1" spans="1:5" ht="15.75" customHeight="1" x14ac:dyDescent="0.25">
      <c r="A1" s="2" t="s">
        <v>5</v>
      </c>
      <c r="B1" s="39" t="s">
        <v>10</v>
      </c>
      <c r="C1" s="39"/>
      <c r="D1" s="39"/>
      <c r="E1" s="39"/>
    </row>
    <row r="2" spans="1:5" ht="15" customHeight="1" x14ac:dyDescent="0.2">
      <c r="B2" s="39"/>
      <c r="C2" s="39"/>
      <c r="D2" s="39"/>
      <c r="E2" s="39"/>
    </row>
    <row r="3" spans="1:5" ht="15" customHeight="1" x14ac:dyDescent="0.2">
      <c r="B3" s="39"/>
      <c r="C3" s="39"/>
      <c r="D3" s="39"/>
      <c r="E3" s="39"/>
    </row>
    <row r="4" spans="1:5" ht="15" customHeight="1" x14ac:dyDescent="0.2">
      <c r="B4" s="39"/>
      <c r="C4" s="39"/>
      <c r="D4" s="39"/>
      <c r="E4" s="39"/>
    </row>
    <row r="5" spans="1:5" ht="15" customHeight="1" x14ac:dyDescent="0.2">
      <c r="B5" s="39"/>
      <c r="C5" s="39"/>
      <c r="D5" s="39"/>
      <c r="E5" s="39"/>
    </row>
    <row r="6" spans="1:5" x14ac:dyDescent="0.2">
      <c r="B6" s="39"/>
      <c r="C6" s="39"/>
      <c r="D6" s="39"/>
      <c r="E6" s="39"/>
    </row>
    <row r="7" spans="1:5" ht="18.75" x14ac:dyDescent="0.3">
      <c r="B7" s="36" t="s">
        <v>56</v>
      </c>
    </row>
    <row r="8" spans="1:5" x14ac:dyDescent="0.2">
      <c r="B8" s="3" t="s">
        <v>13</v>
      </c>
      <c r="C8" s="3">
        <v>8</v>
      </c>
      <c r="D8" s="3" t="s">
        <v>16</v>
      </c>
    </row>
    <row r="9" spans="1:5" x14ac:dyDescent="0.2">
      <c r="B9" s="3" t="s">
        <v>14</v>
      </c>
      <c r="C9" s="3">
        <v>10</v>
      </c>
      <c r="D9" s="3" t="s">
        <v>16</v>
      </c>
    </row>
    <row r="10" spans="1:5" x14ac:dyDescent="0.2">
      <c r="B10" s="3" t="s">
        <v>15</v>
      </c>
      <c r="C10" s="3">
        <f>C8/C9</f>
        <v>0.8</v>
      </c>
    </row>
    <row r="11" spans="1:5" x14ac:dyDescent="0.2">
      <c r="B11" s="3" t="s">
        <v>17</v>
      </c>
      <c r="C11" s="3">
        <f>C10^2/(1-C10)</f>
        <v>3.2000000000000015</v>
      </c>
      <c r="D11" s="3" t="s">
        <v>18</v>
      </c>
    </row>
    <row r="12" spans="1:5" x14ac:dyDescent="0.2">
      <c r="B12" s="3" t="s">
        <v>19</v>
      </c>
      <c r="C12" s="3">
        <f>C11/C8</f>
        <v>0.40000000000000019</v>
      </c>
      <c r="D12" s="3" t="s">
        <v>20</v>
      </c>
    </row>
    <row r="13" spans="1:5" x14ac:dyDescent="0.2">
      <c r="B13" s="3" t="s">
        <v>21</v>
      </c>
      <c r="C13" s="13">
        <f>C10</f>
        <v>0.8</v>
      </c>
    </row>
    <row r="15" spans="1:5" ht="18" x14ac:dyDescent="0.25">
      <c r="B15" s="36" t="s">
        <v>55</v>
      </c>
    </row>
  </sheetData>
  <mergeCells count="1">
    <mergeCell ref="B1:E6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/>
  </sheetViews>
  <sheetFormatPr defaultRowHeight="12.75" x14ac:dyDescent="0.2"/>
  <cols>
    <col min="1" max="1" width="7.140625" style="1" bestFit="1" customWidth="1"/>
    <col min="2" max="2" width="37.5703125" style="1" customWidth="1"/>
    <col min="3" max="3" width="31.7109375" style="1" customWidth="1"/>
    <col min="4" max="4" width="39.42578125" style="1" customWidth="1"/>
    <col min="5" max="16384" width="9.140625" style="1"/>
  </cols>
  <sheetData>
    <row r="1" spans="1:6" ht="15.75" customHeight="1" x14ac:dyDescent="0.25">
      <c r="A1" s="2" t="s">
        <v>5</v>
      </c>
      <c r="B1" s="39" t="s">
        <v>12</v>
      </c>
      <c r="C1" s="39"/>
      <c r="D1" s="39"/>
      <c r="E1" s="39"/>
      <c r="F1" s="39"/>
    </row>
    <row r="2" spans="1:6" ht="12.75" customHeight="1" x14ac:dyDescent="0.2">
      <c r="B2" s="39"/>
      <c r="C2" s="39"/>
      <c r="D2" s="39"/>
      <c r="E2" s="39"/>
      <c r="F2" s="39"/>
    </row>
    <row r="3" spans="1:6" ht="12.75" customHeight="1" x14ac:dyDescent="0.2">
      <c r="B3" s="39"/>
      <c r="C3" s="39"/>
      <c r="D3" s="39"/>
      <c r="E3" s="39"/>
      <c r="F3" s="39"/>
    </row>
    <row r="4" spans="1:6" ht="12.75" customHeight="1" x14ac:dyDescent="0.2">
      <c r="B4" s="39"/>
      <c r="C4" s="39"/>
      <c r="D4" s="39"/>
      <c r="E4" s="39"/>
      <c r="F4" s="39"/>
    </row>
    <row r="5" spans="1:6" ht="12.75" customHeight="1" x14ac:dyDescent="0.2">
      <c r="B5" s="39"/>
      <c r="C5" s="39"/>
      <c r="D5" s="39"/>
      <c r="E5" s="39"/>
      <c r="F5" s="39"/>
    </row>
    <row r="7" spans="1:6" ht="30" x14ac:dyDescent="0.25">
      <c r="B7" s="12" t="s">
        <v>11</v>
      </c>
      <c r="C7" s="12" t="s">
        <v>22</v>
      </c>
      <c r="E7" s="36" t="s">
        <v>55</v>
      </c>
    </row>
    <row r="8" spans="1:6" x14ac:dyDescent="0.2">
      <c r="B8" s="11">
        <v>0</v>
      </c>
      <c r="C8" s="16"/>
    </row>
    <row r="9" spans="1:6" x14ac:dyDescent="0.2">
      <c r="B9" s="11">
        <v>5</v>
      </c>
      <c r="C9" s="16">
        <f>B9-B8</f>
        <v>5</v>
      </c>
    </row>
    <row r="10" spans="1:6" x14ac:dyDescent="0.2">
      <c r="B10" s="11">
        <v>7.5</v>
      </c>
      <c r="C10" s="16">
        <f t="shared" ref="C10:C28" si="0">B10-B9</f>
        <v>2.5</v>
      </c>
    </row>
    <row r="11" spans="1:6" x14ac:dyDescent="0.2">
      <c r="B11" s="11">
        <v>14</v>
      </c>
      <c r="C11" s="16">
        <f t="shared" si="0"/>
        <v>6.5</v>
      </c>
    </row>
    <row r="12" spans="1:6" x14ac:dyDescent="0.2">
      <c r="B12" s="11">
        <v>17.600000000000001</v>
      </c>
      <c r="C12" s="16">
        <f t="shared" si="0"/>
        <v>3.6000000000000014</v>
      </c>
    </row>
    <row r="13" spans="1:6" x14ac:dyDescent="0.2">
      <c r="B13" s="11">
        <v>21</v>
      </c>
      <c r="C13" s="16">
        <f t="shared" si="0"/>
        <v>3.3999999999999986</v>
      </c>
    </row>
    <row r="14" spans="1:6" x14ac:dyDescent="0.2">
      <c r="B14" s="11">
        <v>24.7</v>
      </c>
      <c r="C14" s="16">
        <f t="shared" si="0"/>
        <v>3.6999999999999993</v>
      </c>
    </row>
    <row r="15" spans="1:6" x14ac:dyDescent="0.2">
      <c r="B15" s="11">
        <v>35.6</v>
      </c>
      <c r="C15" s="16">
        <f t="shared" si="0"/>
        <v>10.900000000000002</v>
      </c>
    </row>
    <row r="16" spans="1:6" x14ac:dyDescent="0.2">
      <c r="B16" s="11">
        <v>39</v>
      </c>
      <c r="C16" s="16">
        <f t="shared" si="0"/>
        <v>3.3999999999999986</v>
      </c>
    </row>
    <row r="17" spans="2:6" x14ac:dyDescent="0.2">
      <c r="B17" s="11">
        <v>48</v>
      </c>
      <c r="C17" s="16">
        <f t="shared" si="0"/>
        <v>9</v>
      </c>
    </row>
    <row r="18" spans="2:6" x14ac:dyDescent="0.2">
      <c r="B18" s="11">
        <v>53</v>
      </c>
      <c r="C18" s="16">
        <f t="shared" si="0"/>
        <v>5</v>
      </c>
    </row>
    <row r="19" spans="2:6" x14ac:dyDescent="0.2">
      <c r="B19" s="11">
        <v>57</v>
      </c>
      <c r="C19" s="16">
        <f t="shared" si="0"/>
        <v>4</v>
      </c>
    </row>
    <row r="20" spans="2:6" x14ac:dyDescent="0.2">
      <c r="B20" s="11">
        <v>58.6</v>
      </c>
      <c r="C20" s="16">
        <f t="shared" si="0"/>
        <v>1.6000000000000014</v>
      </c>
    </row>
    <row r="21" spans="2:6" x14ac:dyDescent="0.2">
      <c r="B21" s="11">
        <v>65.900000000000006</v>
      </c>
      <c r="C21" s="16">
        <f t="shared" si="0"/>
        <v>7.3000000000000043</v>
      </c>
    </row>
    <row r="22" spans="2:6" x14ac:dyDescent="0.2">
      <c r="B22" s="11">
        <v>67</v>
      </c>
      <c r="C22" s="16">
        <f t="shared" si="0"/>
        <v>1.0999999999999943</v>
      </c>
    </row>
    <row r="23" spans="2:6" x14ac:dyDescent="0.2">
      <c r="B23" s="11">
        <v>72.400000000000006</v>
      </c>
      <c r="C23" s="16">
        <f t="shared" si="0"/>
        <v>5.4000000000000057</v>
      </c>
    </row>
    <row r="24" spans="2:6" x14ac:dyDescent="0.2">
      <c r="B24" s="11">
        <v>78</v>
      </c>
      <c r="C24" s="16">
        <f t="shared" si="0"/>
        <v>5.5999999999999943</v>
      </c>
    </row>
    <row r="25" spans="2:6" x14ac:dyDescent="0.2">
      <c r="B25" s="11">
        <v>86.3</v>
      </c>
      <c r="C25" s="16">
        <f t="shared" si="0"/>
        <v>8.2999999999999972</v>
      </c>
    </row>
    <row r="26" spans="2:6" x14ac:dyDescent="0.2">
      <c r="B26" s="11">
        <v>97.8</v>
      </c>
      <c r="C26" s="16">
        <f t="shared" si="0"/>
        <v>11.5</v>
      </c>
    </row>
    <row r="27" spans="2:6" x14ac:dyDescent="0.2">
      <c r="B27" s="11">
        <v>102.4</v>
      </c>
      <c r="C27" s="16">
        <f t="shared" si="0"/>
        <v>4.6000000000000085</v>
      </c>
    </row>
    <row r="28" spans="2:6" x14ac:dyDescent="0.2">
      <c r="B28" s="11">
        <v>109.7</v>
      </c>
      <c r="C28" s="16">
        <f t="shared" si="0"/>
        <v>7.2999999999999972</v>
      </c>
    </row>
    <row r="30" spans="2:6" ht="21" x14ac:dyDescent="0.3">
      <c r="B30" s="36" t="s">
        <v>54</v>
      </c>
      <c r="E30" s="37" t="s">
        <v>57</v>
      </c>
    </row>
    <row r="31" spans="2:6" ht="15.75" x14ac:dyDescent="0.25">
      <c r="B31" s="3" t="s">
        <v>13</v>
      </c>
      <c r="C31" s="3">
        <f>1/AVERAGE(C9:C28)*60</f>
        <v>10.938924339106654</v>
      </c>
      <c r="D31" s="14" t="s">
        <v>23</v>
      </c>
      <c r="E31" s="35" t="s">
        <v>25</v>
      </c>
      <c r="F31" s="35" t="s">
        <v>53</v>
      </c>
    </row>
    <row r="32" spans="2:6" ht="15" x14ac:dyDescent="0.2">
      <c r="B32" s="3" t="s">
        <v>14</v>
      </c>
      <c r="C32" s="3">
        <v>2</v>
      </c>
      <c r="D32" s="14" t="s">
        <v>23</v>
      </c>
      <c r="E32" s="16">
        <v>0</v>
      </c>
      <c r="F32" s="16">
        <f>IF(E32&lt;$C$34,$C$33^E32/FACT(E32),"")</f>
        <v>1</v>
      </c>
    </row>
    <row r="33" spans="2:6" ht="15" x14ac:dyDescent="0.2">
      <c r="B33" s="3" t="s">
        <v>15</v>
      </c>
      <c r="C33" s="3">
        <f>C31/C32</f>
        <v>5.469462169553327</v>
      </c>
      <c r="E33" s="16">
        <v>1</v>
      </c>
      <c r="F33" s="16">
        <f t="shared" ref="F33:F41" si="1">IF(E33&lt;$C$34,$C$33^E33/FACT(E33),"")</f>
        <v>5.469462169553327</v>
      </c>
    </row>
    <row r="34" spans="2:6" ht="15" x14ac:dyDescent="0.2">
      <c r="B34" s="20" t="s">
        <v>24</v>
      </c>
      <c r="C34" s="20">
        <v>8</v>
      </c>
      <c r="D34" s="20" t="s">
        <v>31</v>
      </c>
      <c r="E34" s="16">
        <v>2</v>
      </c>
      <c r="F34" s="16">
        <f t="shared" si="1"/>
        <v>14.957508212087493</v>
      </c>
    </row>
    <row r="35" spans="2:6" ht="15" x14ac:dyDescent="0.2">
      <c r="B35" s="14" t="s">
        <v>28</v>
      </c>
      <c r="C35" s="3">
        <f>(F42+C33^C34/FACT(C34)*(1/(1-C33/C34)))^(-1)</f>
        <v>3.9092814174701562E-3</v>
      </c>
      <c r="E35" s="16">
        <v>3</v>
      </c>
      <c r="F35" s="16">
        <f t="shared" si="1"/>
        <v>27.269841772265256</v>
      </c>
    </row>
    <row r="36" spans="2:6" ht="15" x14ac:dyDescent="0.2">
      <c r="B36" s="3" t="s">
        <v>17</v>
      </c>
      <c r="C36" s="3">
        <f>C33^(C34+1)/(FACT(C34)*C34)*(1/(1-C33/C34)^2)*C35</f>
        <v>0.53056956690478352</v>
      </c>
      <c r="D36" s="14" t="s">
        <v>29</v>
      </c>
      <c r="E36" s="16">
        <v>4</v>
      </c>
      <c r="F36" s="16">
        <f t="shared" si="1"/>
        <v>37.287841985777469</v>
      </c>
    </row>
    <row r="37" spans="2:6" ht="15" x14ac:dyDescent="0.2">
      <c r="B37" s="20" t="s">
        <v>19</v>
      </c>
      <c r="C37" s="21">
        <f>C36/C31*60</f>
        <v>2.9101740744727378</v>
      </c>
      <c r="D37" s="20" t="s">
        <v>30</v>
      </c>
      <c r="E37" s="16">
        <v>5</v>
      </c>
      <c r="F37" s="16">
        <f t="shared" si="1"/>
        <v>40.788888225098411</v>
      </c>
    </row>
    <row r="38" spans="2:6" ht="15" x14ac:dyDescent="0.2">
      <c r="B38" s="3" t="s">
        <v>21</v>
      </c>
      <c r="C38" s="38">
        <f>1-C35</f>
        <v>0.99609071858252984</v>
      </c>
      <c r="E38" s="16">
        <v>6</v>
      </c>
      <c r="F38" s="16">
        <f t="shared" si="1"/>
        <v>37.18221351421915</v>
      </c>
    </row>
    <row r="39" spans="2:6" x14ac:dyDescent="0.2">
      <c r="E39" s="16">
        <v>7</v>
      </c>
      <c r="F39" s="16">
        <f t="shared" si="1"/>
        <v>29.052387170896594</v>
      </c>
    </row>
    <row r="40" spans="2:6" x14ac:dyDescent="0.2">
      <c r="E40" s="16">
        <v>8</v>
      </c>
      <c r="F40" s="16" t="str">
        <f t="shared" si="1"/>
        <v/>
      </c>
    </row>
    <row r="41" spans="2:6" x14ac:dyDescent="0.2">
      <c r="E41" s="16">
        <v>9</v>
      </c>
      <c r="F41" s="16" t="str">
        <f t="shared" si="1"/>
        <v/>
      </c>
    </row>
    <row r="42" spans="2:6" x14ac:dyDescent="0.2">
      <c r="E42" s="19" t="s">
        <v>27</v>
      </c>
      <c r="F42" s="19">
        <f>SUM(F32:F41)</f>
        <v>193.00814304989771</v>
      </c>
    </row>
  </sheetData>
  <mergeCells count="1">
    <mergeCell ref="B1:F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workbookViewId="0"/>
  </sheetViews>
  <sheetFormatPr defaultRowHeight="12.75" x14ac:dyDescent="0.2"/>
  <cols>
    <col min="1" max="1" width="7.140625" style="1" bestFit="1" customWidth="1"/>
    <col min="2" max="2" width="27.7109375" style="1" customWidth="1"/>
    <col min="3" max="3" width="20.85546875" style="1" bestFit="1" customWidth="1"/>
    <col min="4" max="4" width="18" style="1" bestFit="1" customWidth="1"/>
    <col min="5" max="5" width="15.140625" style="1" bestFit="1" customWidth="1"/>
    <col min="6" max="6" width="20.85546875" style="1" bestFit="1" customWidth="1"/>
    <col min="7" max="7" width="23.42578125" style="1" customWidth="1"/>
    <col min="8" max="16384" width="9.140625" style="1"/>
  </cols>
  <sheetData>
    <row r="1" spans="1:10" ht="15.75" x14ac:dyDescent="0.25">
      <c r="A1" s="2" t="s">
        <v>5</v>
      </c>
      <c r="B1" s="39" t="s">
        <v>9</v>
      </c>
      <c r="C1" s="39"/>
      <c r="D1" s="39"/>
      <c r="E1" s="39"/>
      <c r="F1" s="39"/>
      <c r="G1" s="39"/>
      <c r="H1" s="39"/>
      <c r="I1" s="39"/>
      <c r="J1" s="39"/>
    </row>
    <row r="2" spans="1:10" ht="12.75" customHeight="1" x14ac:dyDescent="0.2">
      <c r="B2" s="39"/>
      <c r="C2" s="39"/>
      <c r="D2" s="39"/>
      <c r="E2" s="39"/>
      <c r="F2" s="39"/>
      <c r="G2" s="39"/>
      <c r="H2" s="39"/>
      <c r="I2" s="39"/>
      <c r="J2" s="39"/>
    </row>
    <row r="3" spans="1:10" ht="12.75" customHeight="1" x14ac:dyDescent="0.2"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 x14ac:dyDescent="0.2">
      <c r="B5" s="39"/>
      <c r="C5" s="39"/>
      <c r="D5" s="39"/>
      <c r="E5" s="39"/>
      <c r="F5" s="39"/>
      <c r="G5" s="39"/>
      <c r="H5" s="39"/>
      <c r="I5" s="39"/>
      <c r="J5" s="39"/>
    </row>
    <row r="6" spans="1:10" ht="12.75" customHeight="1" x14ac:dyDescent="0.2">
      <c r="B6" s="39"/>
      <c r="C6" s="39"/>
      <c r="D6" s="39"/>
      <c r="E6" s="39"/>
      <c r="F6" s="39"/>
      <c r="G6" s="39"/>
      <c r="H6" s="39"/>
      <c r="I6" s="39"/>
      <c r="J6" s="39"/>
    </row>
    <row r="7" spans="1:10" x14ac:dyDescent="0.2">
      <c r="B7" s="39"/>
      <c r="C7" s="39"/>
      <c r="D7" s="39"/>
      <c r="E7" s="39"/>
      <c r="F7" s="39"/>
      <c r="G7" s="39"/>
      <c r="H7" s="39"/>
      <c r="I7" s="39"/>
      <c r="J7" s="39"/>
    </row>
    <row r="9" spans="1:10" ht="15" x14ac:dyDescent="0.25">
      <c r="B9" s="4" t="s">
        <v>6</v>
      </c>
    </row>
    <row r="10" spans="1:10" ht="16.5" x14ac:dyDescent="0.3">
      <c r="B10" s="6" t="s">
        <v>0</v>
      </c>
      <c r="C10" s="7" t="s">
        <v>1</v>
      </c>
      <c r="D10" s="8" t="s">
        <v>7</v>
      </c>
      <c r="E10" s="8" t="s">
        <v>8</v>
      </c>
    </row>
    <row r="11" spans="1:10" ht="14.25" x14ac:dyDescent="0.2">
      <c r="B11" s="9" t="s">
        <v>2</v>
      </c>
      <c r="C11" s="5">
        <v>550</v>
      </c>
      <c r="D11" s="10">
        <v>7000</v>
      </c>
      <c r="E11" s="10">
        <v>4000</v>
      </c>
    </row>
    <row r="12" spans="1:10" ht="14.25" x14ac:dyDescent="0.2">
      <c r="B12" s="9" t="s">
        <v>3</v>
      </c>
      <c r="C12" s="5">
        <v>380</v>
      </c>
      <c r="D12" s="10">
        <v>5000</v>
      </c>
      <c r="E12" s="10">
        <v>3000</v>
      </c>
    </row>
    <row r="13" spans="1:10" ht="14.25" x14ac:dyDescent="0.2">
      <c r="B13" s="9" t="s">
        <v>4</v>
      </c>
      <c r="C13" s="5">
        <v>850</v>
      </c>
      <c r="D13" s="10">
        <v>9500</v>
      </c>
      <c r="E13" s="10">
        <v>6200</v>
      </c>
    </row>
    <row r="14" spans="1:10" ht="21" x14ac:dyDescent="0.2">
      <c r="H14" s="37" t="s">
        <v>57</v>
      </c>
    </row>
    <row r="15" spans="1:10" ht="18.75" x14ac:dyDescent="0.3">
      <c r="B15" s="36" t="s">
        <v>58</v>
      </c>
      <c r="H15" s="18" t="s">
        <v>25</v>
      </c>
      <c r="I15" s="18" t="s">
        <v>26</v>
      </c>
    </row>
    <row r="16" spans="1:10" ht="15" x14ac:dyDescent="0.2">
      <c r="B16" s="3" t="s">
        <v>13</v>
      </c>
      <c r="C16" s="3">
        <f>14.1/7*1200</f>
        <v>2417.1428571428569</v>
      </c>
      <c r="D16" s="3" t="s">
        <v>32</v>
      </c>
      <c r="H16" s="16">
        <v>0</v>
      </c>
      <c r="I16" s="16">
        <f>IF(H16&lt;$C$20,$C$19^H16/FACT(H16),"")</f>
        <v>1</v>
      </c>
    </row>
    <row r="17" spans="2:9" ht="15" x14ac:dyDescent="0.2">
      <c r="B17" s="3" t="s">
        <v>33</v>
      </c>
      <c r="C17" s="22" t="s">
        <v>4</v>
      </c>
      <c r="D17" s="22" t="s">
        <v>2</v>
      </c>
      <c r="E17" s="22" t="s">
        <v>3</v>
      </c>
      <c r="F17" s="22" t="s">
        <v>4</v>
      </c>
      <c r="H17" s="16">
        <v>1</v>
      </c>
      <c r="I17" s="16">
        <f t="shared" ref="I17:I25" si="0">IF(H17&lt;$C$20,$C$19^H17/FACT(H17),"")</f>
        <v>2.8436974789915963</v>
      </c>
    </row>
    <row r="18" spans="2:9" ht="15" x14ac:dyDescent="0.2">
      <c r="B18" s="3" t="s">
        <v>14</v>
      </c>
      <c r="C18" s="3">
        <f>IF(C17=D17,C11,IF(C17=E17,C12,C13))</f>
        <v>850</v>
      </c>
      <c r="D18" s="3" t="s">
        <v>32</v>
      </c>
      <c r="H18" s="16">
        <v>2</v>
      </c>
      <c r="I18" s="16">
        <f t="shared" si="0"/>
        <v>4.0433076760115805</v>
      </c>
    </row>
    <row r="19" spans="2:9" ht="15" x14ac:dyDescent="0.2">
      <c r="B19" s="3" t="s">
        <v>15</v>
      </c>
      <c r="C19" s="3">
        <f>C16/C18</f>
        <v>2.8436974789915963</v>
      </c>
      <c r="H19" s="16">
        <v>3</v>
      </c>
      <c r="I19" s="16">
        <f t="shared" si="0"/>
        <v>3.8326479483538338</v>
      </c>
    </row>
    <row r="20" spans="2:9" ht="15" x14ac:dyDescent="0.2">
      <c r="B20" s="3" t="s">
        <v>24</v>
      </c>
      <c r="C20" s="3">
        <v>6</v>
      </c>
      <c r="D20" s="3" t="s">
        <v>34</v>
      </c>
      <c r="H20" s="16">
        <v>4</v>
      </c>
      <c r="I20" s="16">
        <f t="shared" si="0"/>
        <v>2.7247228271490282</v>
      </c>
    </row>
    <row r="21" spans="2:9" ht="15" x14ac:dyDescent="0.2">
      <c r="B21" s="3" t="s">
        <v>37</v>
      </c>
      <c r="C21" s="3">
        <v>9</v>
      </c>
      <c r="D21" s="3" t="s">
        <v>38</v>
      </c>
      <c r="H21" s="16">
        <v>5</v>
      </c>
      <c r="I21" s="16">
        <f t="shared" si="0"/>
        <v>1.5496574869029094</v>
      </c>
    </row>
    <row r="22" spans="2:9" x14ac:dyDescent="0.2">
      <c r="H22" s="16">
        <v>6</v>
      </c>
      <c r="I22" s="16" t="str">
        <f t="shared" si="0"/>
        <v/>
      </c>
    </row>
    <row r="23" spans="2:9" ht="15" x14ac:dyDescent="0.2">
      <c r="B23" s="23" t="s">
        <v>35</v>
      </c>
      <c r="C23" s="23" t="s">
        <v>36</v>
      </c>
      <c r="H23" s="16">
        <v>7</v>
      </c>
      <c r="I23" s="16" t="str">
        <f t="shared" si="0"/>
        <v/>
      </c>
    </row>
    <row r="24" spans="2:9" ht="15" x14ac:dyDescent="0.2">
      <c r="B24" s="23">
        <v>0</v>
      </c>
      <c r="C24" s="23">
        <f>(I26+C19^C20/FACT(C20)*(1-(C19/C20)^(C21-C20+1))/(1-C19/C20))^(-1)</f>
        <v>5.7737512655691346E-2</v>
      </c>
      <c r="H24" s="16">
        <v>8</v>
      </c>
      <c r="I24" s="16" t="str">
        <f t="shared" si="0"/>
        <v/>
      </c>
    </row>
    <row r="25" spans="2:9" ht="15" x14ac:dyDescent="0.2">
      <c r="B25" s="23">
        <v>1</v>
      </c>
      <c r="C25" s="24">
        <f>IF(B25&lt;$C$20,$C$19^B25/FACT(B25)*$C$24,$C$19^B25/(FACT($C$20)*$C$20^(B25-$C$20))*$C$24)</f>
        <v>0.16418801918223486</v>
      </c>
      <c r="H25" s="16">
        <v>9</v>
      </c>
      <c r="I25" s="16" t="str">
        <f t="shared" si="0"/>
        <v/>
      </c>
    </row>
    <row r="26" spans="2:9" ht="15" x14ac:dyDescent="0.2">
      <c r="B26" s="23">
        <v>2</v>
      </c>
      <c r="C26" s="24">
        <f t="shared" ref="C26:C33" si="1">IF(B26&lt;$C$20,$C$19^B26/FACT(B26)*$C$24,$C$19^B26/(FACT($C$20)*$C$20^(B26-$C$20))*$C$24)</f>
        <v>0.23345052811457259</v>
      </c>
      <c r="H26" s="19" t="s">
        <v>27</v>
      </c>
      <c r="I26" s="19">
        <f>SUM(I16:I25)</f>
        <v>15.994033417408948</v>
      </c>
    </row>
    <row r="27" spans="2:9" ht="15" x14ac:dyDescent="0.2">
      <c r="B27" s="23">
        <v>3</v>
      </c>
      <c r="C27" s="24">
        <f t="shared" si="1"/>
        <v>0.22128755942288894</v>
      </c>
    </row>
    <row r="28" spans="2:9" ht="15" x14ac:dyDescent="0.2">
      <c r="B28" s="23">
        <v>4</v>
      </c>
      <c r="C28" s="24">
        <f t="shared" si="1"/>
        <v>0.15731871871576814</v>
      </c>
    </row>
    <row r="29" spans="2:9" ht="15" x14ac:dyDescent="0.2">
      <c r="B29" s="23">
        <v>5</v>
      </c>
      <c r="C29" s="24">
        <f t="shared" si="1"/>
        <v>8.9473368762043579E-2</v>
      </c>
    </row>
    <row r="30" spans="2:9" ht="15" x14ac:dyDescent="0.2">
      <c r="B30" s="23">
        <v>6</v>
      </c>
      <c r="C30" s="24">
        <f t="shared" si="1"/>
        <v>4.2405865530918123E-2</v>
      </c>
    </row>
    <row r="31" spans="2:9" ht="15" x14ac:dyDescent="0.2">
      <c r="B31" s="23">
        <v>7</v>
      </c>
      <c r="C31" s="24">
        <f t="shared" si="1"/>
        <v>2.0098242150788082E-2</v>
      </c>
    </row>
    <row r="32" spans="2:9" ht="15" x14ac:dyDescent="0.2">
      <c r="B32" s="23">
        <v>8</v>
      </c>
      <c r="C32" s="24">
        <f t="shared" si="1"/>
        <v>9.5255534227264536E-3</v>
      </c>
    </row>
    <row r="33" spans="2:15" ht="15" x14ac:dyDescent="0.2">
      <c r="B33" s="23">
        <v>9</v>
      </c>
      <c r="C33" s="24">
        <f t="shared" si="1"/>
        <v>4.5146320423678308E-3</v>
      </c>
    </row>
    <row r="34" spans="2:15" x14ac:dyDescent="0.2">
      <c r="B34" s="14"/>
      <c r="C34" s="25"/>
    </row>
    <row r="35" spans="2:15" ht="15" x14ac:dyDescent="0.2">
      <c r="B35" s="23" t="s">
        <v>35</v>
      </c>
      <c r="C35" s="23" t="s">
        <v>39</v>
      </c>
      <c r="D35" s="23" t="s">
        <v>43</v>
      </c>
      <c r="G35" s="17" t="s">
        <v>46</v>
      </c>
      <c r="H35" s="29">
        <f>IF(C17=D17,D11*C20,IF(C17=E17,D12*C20,D13*C20))</f>
        <v>57000</v>
      </c>
      <c r="I35" s="15" t="s">
        <v>47</v>
      </c>
    </row>
    <row r="36" spans="2:15" ht="15" x14ac:dyDescent="0.2">
      <c r="B36" s="23">
        <v>0</v>
      </c>
      <c r="C36" s="23" t="str">
        <f>IF(B36&gt;$C$20,(B36-$C$20)*C24,"")</f>
        <v/>
      </c>
      <c r="D36" s="23">
        <f>B36*C24</f>
        <v>0</v>
      </c>
      <c r="G36" s="17" t="s">
        <v>48</v>
      </c>
      <c r="H36" s="29">
        <f>C47*20000</f>
        <v>523.19534165022901</v>
      </c>
      <c r="I36" s="15" t="s">
        <v>47</v>
      </c>
    </row>
    <row r="37" spans="2:15" ht="15" x14ac:dyDescent="0.2">
      <c r="B37" s="23">
        <v>1</v>
      </c>
      <c r="C37" s="23" t="str">
        <f t="shared" ref="C37:C45" si="2">IF(B37&gt;$C$20,(B37-$C$20)*C25,"")</f>
        <v/>
      </c>
      <c r="D37" s="23">
        <f t="shared" ref="D37:D45" si="3">B37*C25</f>
        <v>0.16418801918223486</v>
      </c>
      <c r="G37" s="17" t="s">
        <v>49</v>
      </c>
      <c r="H37" s="29">
        <f>IF(C17=D17,E11*(D47-C47),IF(C17=E17,E12*(D47-C47),E13*(D47-C47)))</f>
        <v>8713.4248677703345</v>
      </c>
      <c r="I37" s="15" t="s">
        <v>47</v>
      </c>
    </row>
    <row r="38" spans="2:15" ht="15.75" x14ac:dyDescent="0.25">
      <c r="B38" s="23">
        <v>2</v>
      </c>
      <c r="C38" s="23" t="str">
        <f t="shared" si="2"/>
        <v/>
      </c>
      <c r="D38" s="23">
        <f t="shared" si="3"/>
        <v>0.46690105622914518</v>
      </c>
      <c r="G38" s="31" t="s">
        <v>50</v>
      </c>
      <c r="H38" s="32">
        <f>SUM(H35:H37)</f>
        <v>66236.620209420566</v>
      </c>
      <c r="I38" s="31" t="s">
        <v>47</v>
      </c>
    </row>
    <row r="39" spans="2:15" ht="15" x14ac:dyDescent="0.2">
      <c r="B39" s="23">
        <v>3</v>
      </c>
      <c r="C39" s="23" t="str">
        <f t="shared" si="2"/>
        <v/>
      </c>
      <c r="D39" s="23">
        <f t="shared" si="3"/>
        <v>0.66386267826866685</v>
      </c>
    </row>
    <row r="40" spans="2:15" ht="15.75" x14ac:dyDescent="0.25">
      <c r="B40" s="23">
        <v>4</v>
      </c>
      <c r="C40" s="23" t="str">
        <f t="shared" si="2"/>
        <v/>
      </c>
      <c r="D40" s="23">
        <f t="shared" si="3"/>
        <v>0.62927487486307254</v>
      </c>
      <c r="G40" s="17" t="s">
        <v>51</v>
      </c>
      <c r="H40" s="16">
        <v>3</v>
      </c>
      <c r="I40" s="16">
        <v>4</v>
      </c>
      <c r="J40" s="16">
        <v>5</v>
      </c>
      <c r="K40" s="16">
        <v>6</v>
      </c>
      <c r="L40" s="33">
        <v>7</v>
      </c>
      <c r="M40" s="16">
        <v>8</v>
      </c>
      <c r="N40" s="16">
        <v>9</v>
      </c>
      <c r="O40" s="16">
        <v>10</v>
      </c>
    </row>
    <row r="41" spans="2:15" ht="15" x14ac:dyDescent="0.2">
      <c r="B41" s="23">
        <v>5</v>
      </c>
      <c r="C41" s="23" t="str">
        <f t="shared" si="2"/>
        <v/>
      </c>
      <c r="D41" s="23">
        <f t="shared" si="3"/>
        <v>0.44736684381021791</v>
      </c>
      <c r="G41" s="15" t="s">
        <v>2</v>
      </c>
      <c r="H41" s="29"/>
      <c r="I41" s="29"/>
      <c r="J41" s="29">
        <v>52445.593207600323</v>
      </c>
      <c r="K41" s="29">
        <v>53810.574246234653</v>
      </c>
      <c r="L41" s="29">
        <v>58549.929794736388</v>
      </c>
      <c r="M41" s="29"/>
      <c r="N41" s="29"/>
      <c r="O41" s="29"/>
    </row>
    <row r="42" spans="2:15" ht="15.75" x14ac:dyDescent="0.25">
      <c r="B42" s="23">
        <v>6</v>
      </c>
      <c r="C42" s="23" t="str">
        <f t="shared" si="2"/>
        <v/>
      </c>
      <c r="D42" s="23">
        <f t="shared" si="3"/>
        <v>0.25443519318550872</v>
      </c>
      <c r="G42" s="31" t="s">
        <v>3</v>
      </c>
      <c r="H42" s="29"/>
      <c r="I42" s="29"/>
      <c r="J42" s="29"/>
      <c r="K42" s="29"/>
      <c r="L42" s="30">
        <v>47167.695134599751</v>
      </c>
      <c r="M42" s="29">
        <v>49519.93409621247</v>
      </c>
      <c r="N42" s="29">
        <v>53608.679303738492</v>
      </c>
      <c r="O42" s="29"/>
    </row>
    <row r="43" spans="2:15" ht="15" x14ac:dyDescent="0.2">
      <c r="B43" s="23">
        <v>7</v>
      </c>
      <c r="C43" s="23">
        <f t="shared" si="2"/>
        <v>2.0098242150788082E-2</v>
      </c>
      <c r="D43" s="23">
        <f t="shared" si="3"/>
        <v>0.14068769505551657</v>
      </c>
      <c r="G43" s="15" t="s">
        <v>4</v>
      </c>
      <c r="H43" s="29">
        <v>57062.581342562597</v>
      </c>
      <c r="I43" s="29">
        <v>52956.128072703912</v>
      </c>
      <c r="J43" s="29">
        <v>58060.483968155386</v>
      </c>
      <c r="K43" s="29">
        <v>66236.620209420566</v>
      </c>
      <c r="L43" s="29"/>
      <c r="M43" s="29"/>
      <c r="N43" s="29"/>
      <c r="O43" s="29"/>
    </row>
    <row r="44" spans="2:15" ht="15" x14ac:dyDescent="0.2">
      <c r="B44" s="23">
        <v>8</v>
      </c>
      <c r="C44" s="23">
        <f t="shared" si="2"/>
        <v>1.9051106845452907E-2</v>
      </c>
      <c r="D44" s="23">
        <f t="shared" si="3"/>
        <v>7.6204427381811629E-2</v>
      </c>
    </row>
    <row r="45" spans="2:15" ht="15.75" x14ac:dyDescent="0.25">
      <c r="B45" s="23">
        <v>9</v>
      </c>
      <c r="C45" s="28">
        <f t="shared" si="2"/>
        <v>1.3543896127103492E-2</v>
      </c>
      <c r="D45" s="28">
        <f t="shared" si="3"/>
        <v>4.0631688381310475E-2</v>
      </c>
      <c r="G45" s="34" t="s">
        <v>52</v>
      </c>
    </row>
    <row r="46" spans="2:15" x14ac:dyDescent="0.2">
      <c r="B46" s="18" t="s">
        <v>40</v>
      </c>
      <c r="C46" s="16">
        <f>SUM(C36:C45)</f>
        <v>5.2693245123344487E-2</v>
      </c>
      <c r="D46" s="16">
        <f>SUM(D36:D45)</f>
        <v>2.8835524763574849</v>
      </c>
      <c r="E46" s="18" t="s">
        <v>44</v>
      </c>
    </row>
    <row r="47" spans="2:15" x14ac:dyDescent="0.2">
      <c r="B47" s="26" t="s">
        <v>41</v>
      </c>
      <c r="C47" s="27">
        <f>C46/C16*1200</f>
        <v>2.6159767082511449E-2</v>
      </c>
      <c r="D47" s="27">
        <f>D46/C16*1200</f>
        <v>1.4315508747874042</v>
      </c>
      <c r="E47" s="26" t="s">
        <v>45</v>
      </c>
    </row>
    <row r="48" spans="2:15" x14ac:dyDescent="0.2">
      <c r="C48" s="26" t="s">
        <v>42</v>
      </c>
      <c r="D48" s="26" t="s">
        <v>42</v>
      </c>
    </row>
  </sheetData>
  <mergeCells count="1">
    <mergeCell ref="B1:J7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Projekt</vt:lpstr>
      <vt:lpstr>Řešení 1</vt:lpstr>
      <vt:lpstr>Řešení 2</vt:lpstr>
      <vt:lpstr>Řešení 3</vt:lpstr>
    </vt:vector>
  </TitlesOfParts>
  <Company>VSCHT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dyntarj</dc:creator>
  <cp:lastModifiedBy>jakub.dyntar</cp:lastModifiedBy>
  <cp:lastPrinted>2008-09-01T09:22:22Z</cp:lastPrinted>
  <dcterms:created xsi:type="dcterms:W3CDTF">2006-04-06T07:04:53Z</dcterms:created>
  <dcterms:modified xsi:type="dcterms:W3CDTF">2024-04-17T09:14:52Z</dcterms:modified>
</cp:coreProperties>
</file>